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iagrams/colors1.xml" ContentType="application/vnd.openxmlformats-officedocument.drawingml.diagramColors+xml"/>
  <Override PartName="/xl/diagrams/data1.xml" ContentType="application/vnd.openxmlformats-officedocument.drawingml.diagramData+xml"/>
  <Override PartName="/xl/diagrams/drawing1.xml" ContentType="application/vnd.ms-office.drawingml.diagram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tabRatio="893"/>
  </bookViews>
  <sheets>
    <sheet name="目录" sheetId="11" r:id="rId1"/>
    <sheet name="主要参数指标汇总表" sheetId="18" r:id="rId2"/>
    <sheet name="建设投资" sheetId="2" r:id="rId3"/>
    <sheet name="投资使用计划" sheetId="1" r:id="rId4"/>
    <sheet name="经营成本" sheetId="4" r:id="rId5"/>
    <sheet name="销售收入" sheetId="3" r:id="rId6"/>
    <sheet name="销售税金" sheetId="5" r:id="rId7"/>
    <sheet name="流动资金" sheetId="7" r:id="rId8"/>
    <sheet name=" 资金筹措" sheetId="8" r:id="rId9"/>
    <sheet name=" 折旧摊销" sheetId="10" r:id="rId10"/>
    <sheet name="还本付息" sheetId="9" r:id="rId11"/>
    <sheet name="总成本" sheetId="12" r:id="rId12"/>
    <sheet name=" 损益表" sheetId="13" r:id="rId13"/>
    <sheet name="财务现金流量" sheetId="14" r:id="rId14"/>
    <sheet name="项目投资现金流量" sheetId="15" r:id="rId15"/>
    <sheet name="项目资本金现金流量表" sheetId="16" r:id="rId16"/>
    <sheet name="敏感性分析" sheetId="19" r:id="rId17"/>
  </sheets>
  <externalReferences>
    <externalReference r:id="rId18"/>
    <externalReference r:id="rId19"/>
    <externalReference r:id="rId20"/>
  </externalReferences>
  <definedNames>
    <definedName name="_xlnm._FilterDatabase" localSheetId="9" hidden="1">' 折旧摊销'!$M$1:$N$1</definedName>
    <definedName name="_xlnm._FilterDatabase" localSheetId="10" hidden="1">还本付息!$A$1:$W$13</definedName>
    <definedName name="柴油" localSheetId="12">'[1]4-销售收入和销售税金估算表'!#REF!</definedName>
    <definedName name="柴油" localSheetId="9">'[1]4-销售收入和销售税金估算表'!#REF!</definedName>
    <definedName name="柴油" localSheetId="8">'[1]4-销售收入和销售税金估算表'!#REF!</definedName>
    <definedName name="柴油" localSheetId="13">'[1]4-销售收入和销售税金估算表'!#REF!</definedName>
    <definedName name="柴油" localSheetId="7">'[1]4-销售收入和销售税金估算表'!#REF!</definedName>
    <definedName name="柴油" localSheetId="14">'[1]4-销售收入和销售税金估算表'!#REF!</definedName>
    <definedName name="柴油" localSheetId="15">'[1]4-销售收入和销售税金估算表'!#REF!</definedName>
    <definedName name="柴油">'[1]4-销售收入和销售税金估算表'!#REF!</definedName>
    <definedName name="柴油不溶物" localSheetId="12">'[1]4-销售收入和销售税金估算表'!#REF!</definedName>
    <definedName name="柴油不溶物" localSheetId="9">'[1]4-销售收入和销售税金估算表'!#REF!</definedName>
    <definedName name="柴油不溶物" localSheetId="8">'[1]4-销售收入和销售税金估算表'!#REF!</definedName>
    <definedName name="柴油不溶物" localSheetId="13">'[1]4-销售收入和销售税金估算表'!#REF!</definedName>
    <definedName name="柴油不溶物" localSheetId="7">'[1]4-销售收入和销售税金估算表'!#REF!</definedName>
    <definedName name="柴油不溶物" localSheetId="14">'[1]4-销售收入和销售税金估算表'!#REF!</definedName>
    <definedName name="柴油不溶物" localSheetId="15">'[1]4-销售收入和销售税金估算表'!#REF!</definedName>
    <definedName name="柴油不溶物">'[1]4-销售收入和销售税金估算表'!#REF!</definedName>
    <definedName name="粗酚" localSheetId="12">'[1]4-销售收入和销售税金估算表'!#REF!</definedName>
    <definedName name="粗酚" localSheetId="9">'[1]4-销售收入和销售税金估算表'!#REF!</definedName>
    <definedName name="粗酚" localSheetId="8">'[1]4-销售收入和销售税金估算表'!#REF!</definedName>
    <definedName name="粗酚" localSheetId="13">'[1]4-销售收入和销售税金估算表'!#REF!</definedName>
    <definedName name="粗酚" localSheetId="7">'[1]4-销售收入和销售税金估算表'!#REF!</definedName>
    <definedName name="粗酚" localSheetId="14">'[1]4-销售收入和销售税金估算表'!#REF!</definedName>
    <definedName name="粗酚" localSheetId="15">'[1]4-销售收入和销售税金估算表'!#REF!</definedName>
    <definedName name="粗酚">'[1]4-销售收入和销售税金估算表'!#REF!</definedName>
    <definedName name="低位热" localSheetId="12">'[1]4-销售收入和销售税金估算表'!#REF!</definedName>
    <definedName name="低位热" localSheetId="9">'[1]4-销售收入和销售税金估算表'!#REF!</definedName>
    <definedName name="低位热" localSheetId="8">'[1]4-销售收入和销售税金估算表'!#REF!</definedName>
    <definedName name="低位热" localSheetId="13">'[1]4-销售收入和销售税金估算表'!#REF!</definedName>
    <definedName name="低位热" localSheetId="7">'[1]4-销售收入和销售税金估算表'!#REF!</definedName>
    <definedName name="低位热" localSheetId="14">'[1]4-销售收入和销售税金估算表'!#REF!</definedName>
    <definedName name="低位热" localSheetId="15">'[1]4-销售收入和销售税金估算表'!#REF!</definedName>
    <definedName name="低位热">'[1]4-销售收入和销售税金估算表'!#REF!</definedName>
    <definedName name="固定资产进项税额" localSheetId="12">'[1]01-参数表'!$C$59</definedName>
    <definedName name="固定资产进项税额" localSheetId="8">'[1]01-参数表'!$C$59</definedName>
    <definedName name="固定资产进项税额" localSheetId="13">'[1]01-参数表'!$C$59</definedName>
    <definedName name="固定资产进项税额" localSheetId="7">'[1]01-参数表'!$C$59</definedName>
    <definedName name="固定资产进项税额" localSheetId="14">'[1]01-参数表'!$C$59</definedName>
    <definedName name="固定资产进项税额" localSheetId="15">'[1]01-参数表'!$C$59</definedName>
    <definedName name="固定资产进项税额">'[2]2 参数设置'!$C$90</definedName>
    <definedName name="国内长期借款利率" localSheetId="12">'[1]01-参数表'!$D$11</definedName>
    <definedName name="国内长期借款利率" localSheetId="8">'[1]01-参数表'!$D$11</definedName>
    <definedName name="国内长期借款利率" localSheetId="13">'[1]01-参数表'!$D$11</definedName>
    <definedName name="国内长期借款利率" localSheetId="7">'[1]01-参数表'!$D$11</definedName>
    <definedName name="国内长期借款利率" localSheetId="14">'[1]01-参数表'!$D$11</definedName>
    <definedName name="国内长期借款利率" localSheetId="15">'[1]01-参数表'!$D$11</definedName>
    <definedName name="加氢尾油" localSheetId="12">'[1]4-销售收入和销售税金估算表'!#REF!</definedName>
    <definedName name="加氢尾油" localSheetId="9">'[1]4-销售收入和销售税金估算表'!#REF!</definedName>
    <definedName name="加氢尾油" localSheetId="8">'[1]4-销售收入和销售税金估算表'!#REF!</definedName>
    <definedName name="加氢尾油" localSheetId="13">'[1]4-销售收入和销售税金估算表'!#REF!</definedName>
    <definedName name="加氢尾油" localSheetId="7">'[1]4-销售收入和销售税金估算表'!#REF!</definedName>
    <definedName name="加氢尾油" localSheetId="14">'[1]4-销售收入和销售税金估算表'!#REF!</definedName>
    <definedName name="加氢尾油" localSheetId="15">'[1]4-销售收入和销售税金估算表'!#REF!</definedName>
    <definedName name="加氢尾油">'[1]4-销售收入和销售税金估算表'!#REF!</definedName>
    <definedName name="建设期" localSheetId="12">'[1]01-参数表'!$C$5</definedName>
    <definedName name="建设期" localSheetId="13">'[1]01-参数表'!$C$5</definedName>
    <definedName name="建设期">'[1]01-参数表'!$C$5</definedName>
    <definedName name="硫磺" localSheetId="12">'[1]4-销售收入和销售税金估算表'!#REF!</definedName>
    <definedName name="硫磺" localSheetId="9">'[1]4-销售收入和销售税金估算表'!#REF!</definedName>
    <definedName name="硫磺" localSheetId="8">'[1]4-销售收入和销售税金估算表'!#REF!</definedName>
    <definedName name="硫磺" localSheetId="13">'[1]4-销售收入和销售税金估算表'!#REF!</definedName>
    <definedName name="硫磺" localSheetId="7">'[1]4-销售收入和销售税金估算表'!#REF!</definedName>
    <definedName name="硫磺" localSheetId="14">'[1]4-销售收入和销售税金估算表'!#REF!</definedName>
    <definedName name="硫磺" localSheetId="15">'[1]4-销售收入和销售税金估算表'!#REF!</definedName>
    <definedName name="硫磺">'[1]4-销售收入和销售税金估算表'!#REF!</definedName>
    <definedName name="石脑油" localSheetId="12">'[1]4-销售收入和销售税金估算表'!#REF!</definedName>
    <definedName name="石脑油" localSheetId="9">'[1]4-销售收入和销售税金估算表'!#REF!</definedName>
    <definedName name="石脑油" localSheetId="8">'[1]4-销售收入和销售税金估算表'!#REF!</definedName>
    <definedName name="石脑油" localSheetId="13">'[1]4-销售收入和销售税金估算表'!#REF!</definedName>
    <definedName name="石脑油" localSheetId="7">'[1]4-销售收入和销售税金估算表'!#REF!</definedName>
    <definedName name="石脑油" localSheetId="14">'[1]4-销售收入和销售税金估算表'!#REF!</definedName>
    <definedName name="石脑油" localSheetId="15">'[1]4-销售收入和销售税金估算表'!#REF!</definedName>
    <definedName name="石脑油">'[1]4-销售收入和销售税金估算表'!#REF!</definedName>
    <definedName name="所得税率" localSheetId="12">'[1]01-参数表'!$C$24</definedName>
    <definedName name="所得税率" localSheetId="8">'[1]01-参数表'!$C$24</definedName>
    <definedName name="所得税率" localSheetId="13">'[1]01-参数表'!$C$24</definedName>
    <definedName name="所得税率" localSheetId="7">'[1]01-参数表'!$C$24</definedName>
    <definedName name="所得税率" localSheetId="14">'[1]01-参数表'!$C$24</definedName>
    <definedName name="所得税率" localSheetId="15">'[1]01-参数表'!$C$24</definedName>
    <definedName name="脱盐水" localSheetId="12">'[1]4-销售收入和销售税金估算表'!#REF!</definedName>
    <definedName name="脱盐水" localSheetId="9">'[1]4-销售收入和销售税金估算表'!#REF!</definedName>
    <definedName name="脱盐水" localSheetId="8">'[1]4-销售收入和销售税金估算表'!#REF!</definedName>
    <definedName name="脱盐水" localSheetId="13">'[1]4-销售收入和销售税金估算表'!#REF!</definedName>
    <definedName name="脱盐水" localSheetId="7">'[1]4-销售收入和销售税金估算表'!#REF!</definedName>
    <definedName name="脱盐水" localSheetId="14">'[1]4-销售收入和销售税金估算表'!#REF!</definedName>
    <definedName name="脱盐水" localSheetId="15">'[1]4-销售收入和销售税金估算表'!#REF!</definedName>
    <definedName name="脱盐水">'[1]4-销售收入和销售税金估算表'!#REF!</definedName>
    <definedName name="项目计算期" localSheetId="12">'[1]01-参数表'!$C$4</definedName>
    <definedName name="项目计算期" localSheetId="13">'[1]01-参数表'!$C$4</definedName>
    <definedName name="项目计算期">'[1]01-参数表'!$C$4</definedName>
    <definedName name="销售数量" localSheetId="12">[3]市场需求预测!#REF!</definedName>
    <definedName name="销售数量" localSheetId="9">[3]市场需求预测!#REF!</definedName>
    <definedName name="销售数量" localSheetId="8">[3]市场需求预测!#REF!</definedName>
    <definedName name="销售数量" localSheetId="13">[3]市场需求预测!#REF!</definedName>
    <definedName name="销售数量" localSheetId="7">[3]市场需求预测!#REF!</definedName>
    <definedName name="销售数量" localSheetId="14">[3]市场需求预测!#REF!</definedName>
    <definedName name="销售数量" localSheetId="15">[3]市场需求预测!#REF!</definedName>
    <definedName name="销售数量">[3]市场需求预测!#REF!</definedName>
    <definedName name="销项税" localSheetId="12">'[1]01-参数表'!#REF!</definedName>
    <definedName name="销项税" localSheetId="9">'[2]2 参数设置'!#REF!</definedName>
    <definedName name="销项税" localSheetId="8">'[1]01-参数表'!#REF!</definedName>
    <definedName name="销项税" localSheetId="13">'[1]01-参数表'!#REF!</definedName>
    <definedName name="销项税" localSheetId="7">'[1]01-参数表'!#REF!</definedName>
    <definedName name="销项税" localSheetId="14">'[1]01-参数表'!#REF!</definedName>
    <definedName name="销项税" localSheetId="15">'[1]01-参数表'!#REF!</definedName>
    <definedName name="销项税">'[2]2 参数设置'!#REF!</definedName>
    <definedName name="新鲜水" localSheetId="12">'[1]4-销售收入和销售税金估算表'!#REF!</definedName>
    <definedName name="新鲜水" localSheetId="9">'[1]4-销售收入和销售税金估算表'!#REF!</definedName>
    <definedName name="新鲜水" localSheetId="8">'[1]4-销售收入和销售税金估算表'!#REF!</definedName>
    <definedName name="新鲜水" localSheetId="13">'[1]4-销售收入和销售税金估算表'!#REF!</definedName>
    <definedName name="新鲜水" localSheetId="7">'[1]4-销售收入和销售税金估算表'!#REF!</definedName>
    <definedName name="新鲜水" localSheetId="14">'[1]4-销售收入和销售税金估算表'!#REF!</definedName>
    <definedName name="新鲜水" localSheetId="15">'[1]4-销售收入和销售税金估算表'!#REF!</definedName>
    <definedName name="新鲜水">'[1]4-销售收入和销售税金估算表'!#REF!</definedName>
    <definedName name="液氨" localSheetId="12">'[1]4-销售收入和销售税金估算表'!#REF!</definedName>
    <definedName name="液氨" localSheetId="9">'[1]4-销售收入和销售税金估算表'!#REF!</definedName>
    <definedName name="液氨" localSheetId="8">'[1]4-销售收入和销售税金估算表'!#REF!</definedName>
    <definedName name="液氨" localSheetId="13">'[1]4-销售收入和销售税金估算表'!#REF!</definedName>
    <definedName name="液氨" localSheetId="7">'[1]4-销售收入和销售税金估算表'!#REF!</definedName>
    <definedName name="液氨" localSheetId="14">'[1]4-销售收入和销售税金估算表'!#REF!</definedName>
    <definedName name="液氨" localSheetId="15">'[1]4-销售收入和销售税金估算表'!#REF!</definedName>
    <definedName name="液氨">'[1]4-销售收入和销售税金估算表'!#REF!</definedName>
    <definedName name="液化气" localSheetId="12">'[1]4-销售收入和销售税金估算表'!#REF!</definedName>
    <definedName name="液化气" localSheetId="9">'[1]4-销售收入和销售税金估算表'!#REF!</definedName>
    <definedName name="液化气" localSheetId="8">'[1]4-销售收入和销售税金估算表'!#REF!</definedName>
    <definedName name="液化气" localSheetId="13">'[1]4-销售收入和销售税金估算表'!#REF!</definedName>
    <definedName name="液化气" localSheetId="7">'[1]4-销售收入和销售税金估算表'!#REF!</definedName>
    <definedName name="液化气" localSheetId="14">'[1]4-销售收入和销售税金估算表'!#REF!</definedName>
    <definedName name="液化气" localSheetId="15">'[1]4-销售收入和销售税金估算表'!#REF!</definedName>
    <definedName name="液化气">'[1]4-销售收入和销售税金估算表'!#REF!</definedName>
    <definedName name="液氩" localSheetId="12">'[1]4-销售收入和销售税金估算表'!#REF!</definedName>
    <definedName name="液氩" localSheetId="9">'[1]4-销售收入和销售税金估算表'!#REF!</definedName>
    <definedName name="液氩" localSheetId="8">'[1]4-销售收入和销售税金估算表'!#REF!</definedName>
    <definedName name="液氩" localSheetId="13">'[1]4-销售收入和销售税金估算表'!#REF!</definedName>
    <definedName name="液氩" localSheetId="7">'[1]4-销售收入和销售税金估算表'!#REF!</definedName>
    <definedName name="液氩" localSheetId="14">'[1]4-销售收入和销售税金估算表'!#REF!</definedName>
    <definedName name="液氩" localSheetId="15">'[1]4-销售收入和销售税金估算表'!#REF!</definedName>
    <definedName name="液氩">'[1]4-销售收入和销售税金估算表'!#REF!</definedName>
    <definedName name="盈余公积及公益金比例" localSheetId="12">'[1]01-参数表'!$C$27</definedName>
    <definedName name="盈余公积及公益金比例" localSheetId="8">'[1]01-参数表'!$C$27</definedName>
    <definedName name="盈余公积及公益金比例" localSheetId="13">'[1]01-参数表'!$C$27</definedName>
    <definedName name="盈余公积及公益金比例" localSheetId="7">'[1]01-参数表'!$C$27</definedName>
    <definedName name="盈余公积及公益金比例" localSheetId="14">'[1]01-参数表'!$C$27</definedName>
    <definedName name="盈余公积及公益金比例" localSheetId="15">'[1]01-参数表'!$C$27</definedName>
    <definedName name="资本金" localSheetId="12">'[1]01-参数表'!$C$13</definedName>
    <definedName name="资本金" localSheetId="8">'[1]01-参数表'!$C$13</definedName>
    <definedName name="资本金" localSheetId="13">'[1]01-参数表'!$C$13</definedName>
    <definedName name="资本金" localSheetId="7">'[1]01-参数表'!$C$13</definedName>
    <definedName name="资本金" localSheetId="14">'[1]01-参数表'!$C$13</definedName>
    <definedName name="资本金" localSheetId="15">'[1]01-参数表'!$C$13</definedName>
  </definedNames>
  <calcPr calcId="144525"/>
</workbook>
</file>

<file path=xl/comments1.xml><?xml version="1.0" encoding="utf-8"?>
<comments xmlns="http://schemas.openxmlformats.org/spreadsheetml/2006/main">
  <authors>
    <author>陈雪飞</author>
  </authors>
  <commentList>
    <comment ref="L9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可研笔误，实际相符</t>
        </r>
      </text>
    </comment>
  </commentList>
</comments>
</file>

<file path=xl/comments10.xml><?xml version="1.0" encoding="utf-8"?>
<comments xmlns="http://schemas.openxmlformats.org/spreadsheetml/2006/main">
  <authors>
    <author>陈雪飞</author>
  </authors>
  <commentList>
    <comment ref="B1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此两项已含在动力费用中（见经营成本表），不能重复纳入计算。</t>
        </r>
      </text>
    </comment>
  </commentList>
</comments>
</file>

<file path=xl/comments11.xml><?xml version="1.0" encoding="utf-8"?>
<comments xmlns="http://schemas.openxmlformats.org/spreadsheetml/2006/main">
  <authors>
    <author>Windows 用户</author>
  </authors>
  <commentList>
    <comment ref="B9" authorId="0">
      <text>
        <r>
          <rPr>
            <sz val="9"/>
            <rFont val="宋体"/>
            <charset val="134"/>
          </rPr>
          <t xml:space="preserve">
总成本=固定成本+可变成本</t>
        </r>
      </text>
    </comment>
    <comment ref="B1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总成本=经营成本+折旧+摊销+利息</t>
        </r>
      </text>
    </comment>
    <comment ref="B1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产品销售收入-销售税金-总成本</t>
        </r>
      </text>
    </comment>
    <comment ref="B20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利润总额</t>
        </r>
      </text>
    </comment>
    <comment ref="B21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应纳税所得额*25%</t>
        </r>
      </text>
    </comment>
    <comment ref="B2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应纳税所得额-所得税</t>
        </r>
      </text>
    </comment>
    <comment ref="B23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税后利润的10%</t>
        </r>
      </text>
    </comment>
    <comment ref="B24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借款还完后分配</t>
        </r>
      </text>
    </comment>
  </commentList>
</comments>
</file>

<file path=xl/comments12.xml><?xml version="1.0" encoding="utf-8"?>
<comments xmlns="http://schemas.openxmlformats.org/spreadsheetml/2006/main">
  <authors>
    <author>Windows 用户</author>
    <author>陈雪飞</author>
  </authors>
  <commentList>
    <comment ref="B1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营业税没有了，有城建及教育费附加  消费税</t>
        </r>
      </text>
    </comment>
    <comment ref="B13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包含进项税抵扣</t>
        </r>
      </text>
    </comment>
    <comment ref="B29" authorId="1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建设期为还款宽限期，建设期利息从生产期开始还</t>
        </r>
      </text>
    </comment>
  </commentList>
</comments>
</file>

<file path=xl/comments13.xml><?xml version="1.0" encoding="utf-8"?>
<comments xmlns="http://schemas.openxmlformats.org/spreadsheetml/2006/main">
  <authors>
    <author>Windows 用户</author>
    <author>陈雪飞</author>
  </authors>
  <commentList>
    <comment ref="B1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在税金里已经纳入计算了</t>
        </r>
      </text>
    </comment>
    <comment ref="B17" authorId="1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增值税+营业税及附加+消费税</t>
        </r>
      </text>
    </comment>
    <comment ref="C29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现金流量表中由正变负的年份-1+（至当年的累计现金流量值/当年的现金流量</t>
        </r>
      </text>
    </comment>
  </commentList>
</comments>
</file>

<file path=xl/comments2.xml><?xml version="1.0" encoding="utf-8"?>
<comments xmlns="http://schemas.openxmlformats.org/spreadsheetml/2006/main">
  <authors>
    <author>陈雪飞</author>
  </authors>
  <commentList>
    <comment ref="J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敏感性分析用</t>
        </r>
      </text>
    </comment>
    <comment ref="C8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固定资产原值=建设投资-固定资产进项税-无形资产-其它资产+建设期贷款利息</t>
        </r>
      </text>
    </comment>
    <comment ref="C1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建设投资+流动资金+建设期利息</t>
        </r>
      </text>
    </comment>
    <comment ref="C2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基本预备费是按工程费用和工程建设其他费用二者之和为计取基础，乘以基本预备费费率进行计算。</t>
        </r>
      </text>
    </comment>
  </commentList>
</comments>
</file>

<file path=xl/comments3.xml><?xml version="1.0" encoding="utf-8"?>
<comments xmlns="http://schemas.openxmlformats.org/spreadsheetml/2006/main">
  <authors>
    <author>陈雪飞</author>
  </authors>
  <commentList>
    <comment ref="B28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按固定资产原值的2%计算</t>
        </r>
      </text>
    </comment>
    <comment ref="B3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按15000元/人.年</t>
        </r>
      </text>
    </comment>
    <comment ref="B3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按45000元/人.年</t>
        </r>
      </text>
    </comment>
    <comment ref="B32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销售收入的0.05%</t>
        </r>
      </text>
    </comment>
    <comment ref="B33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销售收入的0.2%
</t>
        </r>
      </text>
    </comment>
    <comment ref="B34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固定资产原值的0.1%</t>
        </r>
      </text>
    </comment>
    <comment ref="B42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每4年花费11000万元
7 11 15 每年1.1亿</t>
        </r>
      </text>
    </comment>
  </commentList>
</comments>
</file>

<file path=xl/comments4.xml><?xml version="1.0" encoding="utf-8"?>
<comments xmlns="http://schemas.openxmlformats.org/spreadsheetml/2006/main">
  <authors>
    <author>陈雪飞</author>
  </authors>
  <commentList>
    <comment ref="J1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1.52/升
1吨约 1326升
合2015.5元/吨</t>
        </r>
      </text>
    </comment>
    <comment ref="K1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1.52元/升</t>
        </r>
      </text>
    </comment>
    <comment ref="J1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1.2元/升
1吨 1176升
合1411.2 元/吨</t>
        </r>
      </text>
    </comment>
    <comment ref="K1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1.2元/升</t>
        </r>
      </text>
    </comment>
    <comment ref="I19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销项税与增值税是否同时征收？</t>
        </r>
      </text>
    </comment>
  </commentList>
</comments>
</file>

<file path=xl/comments5.xml><?xml version="1.0" encoding="utf-8"?>
<comments xmlns="http://schemas.openxmlformats.org/spreadsheetml/2006/main">
  <authors>
    <author>陈雪飞</author>
  </authors>
  <commentList>
    <comment ref="B8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固定资产中的设备购置费/1.17*17%
按最大抵扣额算</t>
        </r>
      </text>
    </comment>
    <comment ref="B12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以实际缴纳的增值税+消费税为计算基数，乘以税率
应纳税额=(实际缴纳增值税+消费税)×适用税率</t>
        </r>
      </text>
    </comment>
    <comment ref="B13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纳税人所在地为市区的，税率为7%；
纳税人所在地为县城、镇的，税率为5%；
纳税人所在地不属于市区、县城或镇的，税率为1%。</t>
        </r>
      </text>
    </comment>
    <comment ref="B14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教育费附加的征收率为3%。</t>
        </r>
      </text>
    </comment>
    <comment ref="B15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利润总额的25%
总成本出来后才能算出来   来源损益表中</t>
        </r>
      </text>
    </comment>
  </commentList>
</comments>
</file>

<file path=xl/comments6.xml><?xml version="1.0" encoding="utf-8"?>
<comments xmlns="http://schemas.openxmlformats.org/spreadsheetml/2006/main">
  <authors>
    <author>陈雪飞</author>
  </authors>
  <commentList>
    <comment ref="B9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经营成本/周转次数
五环的计算中净水厂、渣场、皮带等未纳入计算</t>
        </r>
      </text>
    </comment>
    <comment ref="B12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原材料成本/周转次数</t>
        </r>
      </text>
    </comment>
    <comment ref="B17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经营成本/周转次数</t>
        </r>
      </text>
    </comment>
    <comment ref="B18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（经营成本-其它营业费用）/周转次数</t>
        </r>
      </text>
    </comment>
    <comment ref="B19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修理费*备品备件系数取0.25  /周转次数</t>
        </r>
      </text>
    </comment>
    <comment ref="B2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(工资福利+其它费用)/周转次数</t>
        </r>
      </text>
    </comment>
    <comment ref="B23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外购原材料、燃料及动力/周转次数</t>
        </r>
      </text>
    </comment>
  </commentList>
</comments>
</file>

<file path=xl/comments7.xml><?xml version="1.0" encoding="utf-8"?>
<comments xmlns="http://schemas.openxmlformats.org/spreadsheetml/2006/main">
  <authors>
    <author>Windows 用户</author>
    <author>陈雪飞</author>
  </authors>
  <commentList>
    <comment ref="B10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年初借款本金累计+本年借款额/2）*有效年利率</t>
        </r>
      </text>
    </comment>
    <comment ref="B16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建设期为建设投资的30%
生产期再加上流动资金的30%</t>
        </r>
      </text>
    </comment>
    <comment ref="L35" authorId="1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已经含了还当年的利息
利息不再计入期未余额</t>
        </r>
      </text>
    </comment>
    <comment ref="B36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年初借款本金累计+本年借款额/2）*有效年利率</t>
        </r>
      </text>
    </comment>
    <comment ref="L36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年初借款本金累计+本年借款额/2）*有效年利率</t>
        </r>
      </text>
    </comment>
    <comment ref="L38" authorId="1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当年利息在年底已偿还</t>
        </r>
      </text>
    </comment>
    <comment ref="B4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建设期为建设投资的30%
生产期再加上流动资金的30%</t>
        </r>
      </text>
    </comment>
    <comment ref="L42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建设期为建设投资的30%
生产期再加上流动资金的30%</t>
        </r>
      </text>
    </comment>
  </commentList>
</comments>
</file>

<file path=xl/comments8.xml><?xml version="1.0" encoding="utf-8"?>
<comments xmlns="http://schemas.openxmlformats.org/spreadsheetml/2006/main">
  <authors>
    <author>陈雪飞</author>
  </authors>
  <commentList>
    <comment ref="O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默认为平均年限法，
可选分类计提法
</t>
        </r>
      </text>
    </comment>
    <comment ref="B5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建设投资-固定资产进项税-无形资产-其它资产+建设期贷款利息
</t>
        </r>
      </text>
    </comment>
    <comment ref="B10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建设投资-固定资产进项税-无形资产-其它资产+建设期贷款利息
</t>
        </r>
      </text>
    </comment>
    <comment ref="B16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加上净水厂和输煤皮带
算了 还是不加了</t>
        </r>
      </text>
    </comment>
    <comment ref="B26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建设投资-固定资产进项税-无形资产-其它资产+建设期贷款利息
</t>
        </r>
      </text>
    </comment>
  </commentList>
</comments>
</file>

<file path=xl/comments9.xml><?xml version="1.0" encoding="utf-8"?>
<comments xmlns="http://schemas.openxmlformats.org/spreadsheetml/2006/main">
  <authors>
    <author>陈雪飞</author>
  </authors>
  <commentList>
    <comment ref="C11" authorId="0">
      <text>
        <r>
          <rPr>
            <b/>
            <sz val="9"/>
            <rFont val="宋体"/>
            <charset val="134"/>
          </rPr>
          <t>陈雪飞:</t>
        </r>
        <r>
          <rPr>
            <sz val="9"/>
            <rFont val="宋体"/>
            <charset val="134"/>
          </rPr>
          <t xml:space="preserve">
流动资金的70%</t>
        </r>
      </text>
    </comment>
  </commentList>
</comments>
</file>

<file path=xl/sharedStrings.xml><?xml version="1.0" encoding="utf-8"?>
<sst xmlns="http://schemas.openxmlformats.org/spreadsheetml/2006/main" count="1097" uniqueCount="503">
  <si>
    <t>主要计算参数</t>
  </si>
  <si>
    <t>主要评价指标</t>
  </si>
  <si>
    <t>序号</t>
  </si>
  <si>
    <t>项目</t>
  </si>
  <si>
    <t>数量</t>
  </si>
  <si>
    <t>单位</t>
  </si>
  <si>
    <t>指标</t>
  </si>
  <si>
    <t>数据</t>
  </si>
  <si>
    <t>五环计算结果</t>
  </si>
  <si>
    <t>偏差</t>
  </si>
  <si>
    <t>到敏感性分析表</t>
  </si>
  <si>
    <t>原料粉煤</t>
  </si>
  <si>
    <t>元/吨</t>
  </si>
  <si>
    <t>项目总投资</t>
  </si>
  <si>
    <t>万元</t>
  </si>
  <si>
    <t>原料碎煤</t>
  </si>
  <si>
    <t>其中建设投资</t>
  </si>
  <si>
    <t>电力</t>
  </si>
  <si>
    <t>元/度</t>
  </si>
  <si>
    <t>建设期利息</t>
  </si>
  <si>
    <t>原水</t>
  </si>
  <si>
    <t>流动资金</t>
  </si>
  <si>
    <t>天然气销售价格</t>
  </si>
  <si>
    <t>无/立方米</t>
  </si>
  <si>
    <t>项目资本金</t>
  </si>
  <si>
    <t>全厂总定员</t>
  </si>
  <si>
    <t>人</t>
  </si>
  <si>
    <t>年均销售收入</t>
  </si>
  <si>
    <t>长期借款年利率</t>
  </si>
  <si>
    <t>年均总成本费用</t>
  </si>
  <si>
    <t>流动资金借款年利率</t>
  </si>
  <si>
    <t>年均利润总额</t>
  </si>
  <si>
    <t>美元汇率</t>
  </si>
  <si>
    <t>增值税</t>
  </si>
  <si>
    <t>资本金比例</t>
  </si>
  <si>
    <t>年均所得税</t>
  </si>
  <si>
    <t>所得税税率</t>
  </si>
  <si>
    <t>年均净利润</t>
  </si>
  <si>
    <t>维修费率</t>
  </si>
  <si>
    <t>内部收益率（税前）</t>
  </si>
  <si>
    <t>固定资产残值率</t>
  </si>
  <si>
    <t>内部收益率（税后）</t>
  </si>
  <si>
    <t>柴油消费税率</t>
  </si>
  <si>
    <t>财务净现值（税前）</t>
  </si>
  <si>
    <t>石脑油消费税率</t>
  </si>
  <si>
    <t>财务净现值（税后）</t>
  </si>
  <si>
    <t>固定资产折旧年限</t>
  </si>
  <si>
    <t>年</t>
  </si>
  <si>
    <t>投资回收期（税前）</t>
  </si>
  <si>
    <t>无形资产摊销年限</t>
  </si>
  <si>
    <t>投资回收期（税后）</t>
  </si>
  <si>
    <t>其它资产摊销年限</t>
  </si>
  <si>
    <t>资本金内部收益率</t>
  </si>
  <si>
    <t>建设期</t>
  </si>
  <si>
    <t>固定资产原值</t>
  </si>
  <si>
    <t>建设投资比例</t>
  </si>
  <si>
    <t>2，4，4</t>
  </si>
  <si>
    <t>经营成本</t>
  </si>
  <si>
    <t>借款偿还期</t>
  </si>
  <si>
    <t>还款方式</t>
  </si>
  <si>
    <t>等额本息</t>
  </si>
  <si>
    <t>投产第一年生产负荷</t>
  </si>
  <si>
    <t>建设期进项税抵扣年限</t>
  </si>
  <si>
    <t>返回目录</t>
  </si>
  <si>
    <t xml:space="preserve">总  投  资  估  算  表                                                                                         </t>
  </si>
  <si>
    <t>敏感性分析系数</t>
  </si>
  <si>
    <t>项目代码：09040</t>
  </si>
  <si>
    <t>版次：0</t>
  </si>
  <si>
    <t>项目名称：中国海洋石油总公司山西大同低变质烟煤清洁利用示范项目</t>
  </si>
  <si>
    <t>设计阶段：可研</t>
  </si>
  <si>
    <r>
      <rPr>
        <b/>
        <sz val="10"/>
        <color theme="0"/>
        <rFont val="宋体"/>
        <charset val="134"/>
      </rPr>
      <t>单元号或</t>
    </r>
    <r>
      <rPr>
        <b/>
        <sz val="10"/>
        <color theme="0"/>
        <rFont val="Arial"/>
        <charset val="134"/>
      </rPr>
      <t xml:space="preserve">                       </t>
    </r>
    <r>
      <rPr>
        <b/>
        <sz val="10"/>
        <color theme="0"/>
        <rFont val="宋体"/>
        <charset val="134"/>
      </rPr>
      <t>主项号</t>
    </r>
    <r>
      <rPr>
        <b/>
        <sz val="10"/>
        <color theme="0"/>
        <rFont val="Arial"/>
        <charset val="134"/>
      </rPr>
      <t xml:space="preserve">                   </t>
    </r>
  </si>
  <si>
    <r>
      <rPr>
        <b/>
        <sz val="10"/>
        <color theme="0"/>
        <rFont val="宋体"/>
        <charset val="134"/>
      </rPr>
      <t>工程项目或费用名称</t>
    </r>
    <r>
      <rPr>
        <b/>
        <sz val="10"/>
        <color theme="0"/>
        <rFont val="Arial"/>
        <charset val="134"/>
      </rPr>
      <t xml:space="preserve">                                                                                     </t>
    </r>
  </si>
  <si>
    <r>
      <rPr>
        <b/>
        <sz val="9"/>
        <color theme="0"/>
        <rFont val="宋体"/>
        <charset val="134"/>
      </rPr>
      <t>规模或主要工程量</t>
    </r>
    <r>
      <rPr>
        <b/>
        <sz val="9"/>
        <color theme="0"/>
        <rFont val="Arial"/>
        <charset val="134"/>
      </rPr>
      <t xml:space="preserve">                          </t>
    </r>
  </si>
  <si>
    <r>
      <rPr>
        <b/>
        <sz val="10"/>
        <color theme="0"/>
        <rFont val="宋体"/>
        <charset val="134"/>
      </rPr>
      <t>估</t>
    </r>
    <r>
      <rPr>
        <b/>
        <sz val="10"/>
        <color theme="0"/>
        <rFont val="Arial"/>
        <charset val="134"/>
      </rPr>
      <t xml:space="preserve">  </t>
    </r>
    <r>
      <rPr>
        <b/>
        <sz val="10"/>
        <color theme="0"/>
        <rFont val="宋体"/>
        <charset val="134"/>
      </rPr>
      <t>算</t>
    </r>
    <r>
      <rPr>
        <b/>
        <sz val="10"/>
        <color theme="0"/>
        <rFont val="Arial"/>
        <charset val="134"/>
      </rPr>
      <t xml:space="preserve">  </t>
    </r>
    <r>
      <rPr>
        <b/>
        <sz val="10"/>
        <color theme="0"/>
        <rFont val="宋体"/>
        <charset val="134"/>
      </rPr>
      <t>价</t>
    </r>
    <r>
      <rPr>
        <b/>
        <sz val="10"/>
        <color theme="0"/>
        <rFont val="Arial"/>
        <charset val="134"/>
      </rPr>
      <t xml:space="preserve">  </t>
    </r>
    <r>
      <rPr>
        <b/>
        <sz val="10"/>
        <color theme="0"/>
        <rFont val="宋体"/>
        <charset val="134"/>
      </rPr>
      <t>值（万元）</t>
    </r>
    <r>
      <rPr>
        <b/>
        <sz val="10"/>
        <color theme="0"/>
        <rFont val="Arial"/>
        <charset val="134"/>
      </rPr>
      <t xml:space="preserve">                                                                                                                       </t>
    </r>
  </si>
  <si>
    <r>
      <rPr>
        <b/>
        <sz val="9"/>
        <color theme="0"/>
        <rFont val="宋体"/>
        <charset val="134"/>
      </rPr>
      <t>占建设投资</t>
    </r>
    <r>
      <rPr>
        <b/>
        <sz val="9"/>
        <color theme="0"/>
        <rFont val="Arial"/>
        <charset val="134"/>
      </rPr>
      <t xml:space="preserve">   %      </t>
    </r>
  </si>
  <si>
    <r>
      <rPr>
        <b/>
        <sz val="9"/>
        <color theme="0"/>
        <rFont val="宋体"/>
        <charset val="134"/>
      </rPr>
      <t>含外币金额</t>
    </r>
    <r>
      <rPr>
        <b/>
        <sz val="9"/>
        <color theme="0"/>
        <rFont val="Arial"/>
        <charset val="134"/>
      </rPr>
      <t xml:space="preserve">                          </t>
    </r>
    <r>
      <rPr>
        <b/>
        <sz val="9"/>
        <color theme="0"/>
        <rFont val="宋体"/>
        <charset val="134"/>
      </rPr>
      <t>（万美元）</t>
    </r>
    <r>
      <rPr>
        <b/>
        <sz val="9"/>
        <color theme="0"/>
        <rFont val="Arial"/>
        <charset val="134"/>
      </rPr>
      <t xml:space="preserve"> 
</t>
    </r>
    <r>
      <rPr>
        <b/>
        <sz val="9"/>
        <color theme="0"/>
        <rFont val="宋体"/>
        <charset val="134"/>
      </rPr>
      <t>校核计算</t>
    </r>
    <r>
      <rPr>
        <b/>
        <sz val="9"/>
        <color theme="0"/>
        <rFont val="Arial"/>
        <charset val="134"/>
      </rPr>
      <t xml:space="preserve"> </t>
    </r>
  </si>
  <si>
    <r>
      <rPr>
        <b/>
        <sz val="9"/>
        <color theme="0"/>
        <rFont val="宋体"/>
        <charset val="134"/>
      </rPr>
      <t>含外币金额</t>
    </r>
    <r>
      <rPr>
        <b/>
        <sz val="9"/>
        <color theme="0"/>
        <rFont val="Arial"/>
        <charset val="134"/>
      </rPr>
      <t xml:space="preserve">                          </t>
    </r>
    <r>
      <rPr>
        <b/>
        <sz val="9"/>
        <color theme="0"/>
        <rFont val="宋体"/>
        <charset val="134"/>
      </rPr>
      <t>（万美元）</t>
    </r>
    <r>
      <rPr>
        <b/>
        <sz val="9"/>
        <color theme="0"/>
        <rFont val="Arial"/>
        <charset val="134"/>
      </rPr>
      <t xml:space="preserve"> 
</t>
    </r>
    <r>
      <rPr>
        <b/>
        <sz val="9"/>
        <color theme="0"/>
        <rFont val="宋体"/>
        <charset val="134"/>
      </rPr>
      <t>老数据</t>
    </r>
    <r>
      <rPr>
        <b/>
        <sz val="9"/>
        <color theme="0"/>
        <rFont val="Arial"/>
        <charset val="134"/>
      </rPr>
      <t xml:space="preserve"> </t>
    </r>
  </si>
  <si>
    <r>
      <rPr>
        <b/>
        <sz val="9"/>
        <color theme="0"/>
        <rFont val="宋体"/>
        <charset val="134"/>
      </rPr>
      <t>备</t>
    </r>
    <r>
      <rPr>
        <b/>
        <sz val="9"/>
        <color theme="0"/>
        <rFont val="Arial"/>
        <charset val="134"/>
      </rPr>
      <t xml:space="preserve">  </t>
    </r>
    <r>
      <rPr>
        <b/>
        <sz val="9"/>
        <color theme="0"/>
        <rFont val="宋体"/>
        <charset val="134"/>
      </rPr>
      <t>注</t>
    </r>
    <r>
      <rPr>
        <b/>
        <sz val="9"/>
        <color theme="0"/>
        <rFont val="Arial"/>
        <charset val="134"/>
      </rPr>
      <t xml:space="preserve">  </t>
    </r>
  </si>
  <si>
    <r>
      <rPr>
        <b/>
        <sz val="9"/>
        <color theme="0"/>
        <rFont val="宋体"/>
        <charset val="134"/>
      </rPr>
      <t>设备购置费</t>
    </r>
    <r>
      <rPr>
        <b/>
        <sz val="9"/>
        <color theme="0"/>
        <rFont val="Arial"/>
        <charset val="134"/>
      </rPr>
      <t xml:space="preserve"> </t>
    </r>
  </si>
  <si>
    <r>
      <rPr>
        <b/>
        <sz val="9"/>
        <color theme="0"/>
        <rFont val="宋体"/>
        <charset val="134"/>
      </rPr>
      <t>安</t>
    </r>
    <r>
      <rPr>
        <b/>
        <sz val="9"/>
        <color theme="0"/>
        <rFont val="Arial"/>
        <charset val="134"/>
      </rPr>
      <t xml:space="preserve"> </t>
    </r>
    <r>
      <rPr>
        <b/>
        <sz val="9"/>
        <color theme="0"/>
        <rFont val="宋体"/>
        <charset val="134"/>
      </rPr>
      <t>装</t>
    </r>
    <r>
      <rPr>
        <b/>
        <sz val="9"/>
        <color theme="0"/>
        <rFont val="Arial"/>
        <charset val="134"/>
      </rPr>
      <t xml:space="preserve"> </t>
    </r>
    <r>
      <rPr>
        <b/>
        <sz val="9"/>
        <color theme="0"/>
        <rFont val="宋体"/>
        <charset val="134"/>
      </rPr>
      <t>费</t>
    </r>
    <r>
      <rPr>
        <b/>
        <sz val="9"/>
        <color theme="0"/>
        <rFont val="Arial"/>
        <charset val="134"/>
      </rPr>
      <t xml:space="preserve">                                          </t>
    </r>
  </si>
  <si>
    <t>建筑工程费</t>
  </si>
  <si>
    <t>其他费用</t>
  </si>
  <si>
    <r>
      <rPr>
        <b/>
        <sz val="9"/>
        <color theme="0"/>
        <rFont val="宋体"/>
        <charset val="134"/>
      </rPr>
      <t>计算合</t>
    </r>
    <r>
      <rPr>
        <b/>
        <sz val="9"/>
        <color theme="0"/>
        <rFont val="Arial"/>
        <charset val="134"/>
      </rPr>
      <t xml:space="preserve"> </t>
    </r>
    <r>
      <rPr>
        <b/>
        <sz val="9"/>
        <color theme="0"/>
        <rFont val="宋体"/>
        <charset val="134"/>
      </rPr>
      <t>计</t>
    </r>
    <r>
      <rPr>
        <b/>
        <sz val="9"/>
        <color theme="0"/>
        <rFont val="Arial"/>
        <charset val="134"/>
      </rPr>
      <t xml:space="preserve">                      </t>
    </r>
  </si>
  <si>
    <t>五环数据</t>
  </si>
  <si>
    <t>固定资产进项税</t>
  </si>
  <si>
    <t>无形资产</t>
  </si>
  <si>
    <r>
      <rPr>
        <sz val="9"/>
        <rFont val="Arial"/>
        <charset val="134"/>
      </rPr>
      <t>10</t>
    </r>
    <r>
      <rPr>
        <sz val="9"/>
        <rFont val="宋体"/>
        <charset val="134"/>
      </rPr>
      <t>年摊销</t>
    </r>
  </si>
  <si>
    <t>其它资产</t>
  </si>
  <si>
    <r>
      <rPr>
        <sz val="9"/>
        <rFont val="Arial"/>
        <charset val="134"/>
      </rPr>
      <t>5</t>
    </r>
    <r>
      <rPr>
        <sz val="9"/>
        <rFont val="宋体"/>
        <charset val="134"/>
      </rPr>
      <t>年摊销</t>
    </r>
  </si>
  <si>
    <t>建设项目总投资</t>
  </si>
  <si>
    <t>I</t>
  </si>
  <si>
    <t>建设投资</t>
  </si>
  <si>
    <t>一</t>
  </si>
  <si>
    <t>固定资产投资</t>
  </si>
  <si>
    <t>(一）</t>
  </si>
  <si>
    <t>工程费用</t>
  </si>
  <si>
    <t>（二）</t>
  </si>
  <si>
    <t>固定资产其他</t>
  </si>
  <si>
    <t>二</t>
  </si>
  <si>
    <t>无形资产费用</t>
  </si>
  <si>
    <t>三</t>
  </si>
  <si>
    <t>其他资产费用</t>
  </si>
  <si>
    <t>四</t>
  </si>
  <si>
    <t>预备费</t>
  </si>
  <si>
    <t>五</t>
  </si>
  <si>
    <t>净水厂</t>
  </si>
  <si>
    <t>市政华北院</t>
  </si>
  <si>
    <t>六</t>
  </si>
  <si>
    <t>厂外输煤（单路皮带,B=1600)</t>
  </si>
  <si>
    <r>
      <rPr>
        <sz val="11"/>
        <color theme="1"/>
        <rFont val="Times New Roman"/>
        <charset val="134"/>
      </rPr>
      <t>Q=3237t/h,17663</t>
    </r>
    <r>
      <rPr>
        <sz val="11"/>
        <color theme="1"/>
        <rFont val="宋体"/>
        <charset val="134"/>
      </rPr>
      <t>米</t>
    </r>
  </si>
  <si>
    <t>华电重工</t>
  </si>
  <si>
    <t>七</t>
  </si>
  <si>
    <t>铁路专用线（缓建）</t>
  </si>
  <si>
    <r>
      <rPr>
        <sz val="9"/>
        <color theme="0" tint="-0.149998474074526"/>
        <rFont val="Times New Roman"/>
        <charset val="134"/>
      </rPr>
      <t>21.088</t>
    </r>
    <r>
      <rPr>
        <sz val="9"/>
        <color theme="0" tint="-0.149998474074526"/>
        <rFont val="宋体"/>
        <charset val="134"/>
      </rPr>
      <t>公里</t>
    </r>
  </si>
  <si>
    <t>中铁工程</t>
  </si>
  <si>
    <t>八</t>
  </si>
  <si>
    <t>左云百货站改造</t>
  </si>
  <si>
    <t>建期贷款利息</t>
  </si>
  <si>
    <t>投资使用计划</t>
  </si>
  <si>
    <t>项目名称</t>
  </si>
  <si>
    <t>投资</t>
  </si>
  <si>
    <t>第1年</t>
  </si>
  <si>
    <t>第2年</t>
  </si>
  <si>
    <t>第3年</t>
  </si>
  <si>
    <t>人民币</t>
  </si>
  <si>
    <t>使用比例</t>
  </si>
  <si>
    <t>固定资产</t>
  </si>
  <si>
    <t>厂外输煤皮带</t>
  </si>
  <si>
    <t>建设投资合计</t>
  </si>
  <si>
    <t>70%贷款额</t>
  </si>
  <si>
    <t>30%资本金</t>
  </si>
  <si>
    <t>五环数据-借款</t>
  </si>
  <si>
    <t>五环数据-利息</t>
  </si>
  <si>
    <t>是否考虑进项税抵扣</t>
  </si>
  <si>
    <t>费用名称</t>
  </si>
  <si>
    <t>单价</t>
  </si>
  <si>
    <t xml:space="preserve">数量 </t>
  </si>
  <si>
    <t>达产年费用
（万元）</t>
  </si>
  <si>
    <t>进项
税率</t>
  </si>
  <si>
    <t>可抵扣生产期进项税额
（万元）</t>
  </si>
  <si>
    <t>第4年</t>
  </si>
  <si>
    <t>第5年</t>
  </si>
  <si>
    <t>第6年</t>
  </si>
  <si>
    <t>第7年</t>
  </si>
  <si>
    <t>第8年</t>
  </si>
  <si>
    <t>第9年</t>
  </si>
  <si>
    <t>第10年</t>
  </si>
  <si>
    <t>第11年</t>
  </si>
  <si>
    <t>第12年</t>
  </si>
  <si>
    <t>第13年</t>
  </si>
  <si>
    <t>第14年</t>
  </si>
  <si>
    <t>第15年</t>
  </si>
  <si>
    <t>第16年</t>
  </si>
  <si>
    <t>第17年</t>
  </si>
  <si>
    <t>第18年</t>
  </si>
  <si>
    <t>第19年</t>
  </si>
  <si>
    <t>第20年</t>
  </si>
  <si>
    <t>外购原材料、燃料及动力</t>
  </si>
  <si>
    <t>（1）</t>
  </si>
  <si>
    <t xml:space="preserve">外购原材料及辅助材料 </t>
  </si>
  <si>
    <t>原料块煤</t>
  </si>
  <si>
    <t>吨</t>
  </si>
  <si>
    <t>催化剂及化学品</t>
  </si>
  <si>
    <t>项</t>
  </si>
  <si>
    <t>万元/项</t>
  </si>
  <si>
    <t>石灰石</t>
  </si>
  <si>
    <t>辅助材料</t>
  </si>
  <si>
    <t>备品备件</t>
  </si>
  <si>
    <t>外购半成品</t>
  </si>
  <si>
    <t>包装物</t>
  </si>
  <si>
    <t>其它直接材料</t>
  </si>
  <si>
    <t>（2）</t>
  </si>
  <si>
    <t>外购燃料</t>
  </si>
  <si>
    <t>（3）</t>
  </si>
  <si>
    <t>动力</t>
  </si>
  <si>
    <t>度</t>
  </si>
  <si>
    <t>高压蒸汽</t>
  </si>
  <si>
    <t>次高压蒸汽</t>
  </si>
  <si>
    <t>中压蒸汽</t>
  </si>
  <si>
    <t>危废运行费</t>
  </si>
  <si>
    <t>万元/年</t>
  </si>
  <si>
    <t>灰渣运费</t>
  </si>
  <si>
    <t>二、</t>
  </si>
  <si>
    <t>直接工资及福利费</t>
  </si>
  <si>
    <t>元/人</t>
  </si>
  <si>
    <t>三、</t>
  </si>
  <si>
    <t>修理费</t>
  </si>
  <si>
    <t>四、</t>
  </si>
  <si>
    <t>其它费用</t>
  </si>
  <si>
    <t>其它制造费用</t>
  </si>
  <si>
    <t>元/人.年</t>
  </si>
  <si>
    <t>其它管理费</t>
  </si>
  <si>
    <t>其它营业费用</t>
  </si>
  <si>
    <t>销售收入</t>
  </si>
  <si>
    <t>安生生产费</t>
  </si>
  <si>
    <t>财产保险费</t>
  </si>
  <si>
    <t>五、</t>
  </si>
  <si>
    <t>净水厂运行费</t>
  </si>
  <si>
    <t>皮带运行费</t>
  </si>
  <si>
    <t>灰渣运行费</t>
  </si>
  <si>
    <t>渣场道路土地租赁费</t>
  </si>
  <si>
    <t>外委工作人员费</t>
  </si>
  <si>
    <t>渣场建设费</t>
  </si>
  <si>
    <t>万元/15年</t>
  </si>
  <si>
    <t>销售收入和税金计算表</t>
  </si>
  <si>
    <t>产品名称</t>
  </si>
  <si>
    <t>销售价</t>
  </si>
  <si>
    <t>售价单位</t>
  </si>
  <si>
    <t>销售量</t>
  </si>
  <si>
    <t>销售收入
（万元）</t>
  </si>
  <si>
    <t>增值税率</t>
  </si>
  <si>
    <t>销项税额
（万元）</t>
  </si>
  <si>
    <t>消费税率</t>
  </si>
  <si>
    <t>消费税单位</t>
  </si>
  <si>
    <t>消费税额
（万元）</t>
  </si>
  <si>
    <t>税金合计</t>
  </si>
  <si>
    <t>到敏感性分析</t>
  </si>
  <si>
    <t>天然气</t>
  </si>
  <si>
    <t>元/立方</t>
  </si>
  <si>
    <t>万立方米</t>
  </si>
  <si>
    <t>脱盐水</t>
  </si>
  <si>
    <t>万吨</t>
  </si>
  <si>
    <t>产量变化参数</t>
  </si>
  <si>
    <t>粗酚</t>
  </si>
  <si>
    <t>硫磺</t>
  </si>
  <si>
    <t>液氩</t>
  </si>
  <si>
    <t>石脑油</t>
  </si>
  <si>
    <t>柴油</t>
  </si>
  <si>
    <t>液化气</t>
  </si>
  <si>
    <t>7号燃料油</t>
  </si>
  <si>
    <t>5号轻质燃料油</t>
  </si>
  <si>
    <t>液氨</t>
  </si>
  <si>
    <t>低位热</t>
  </si>
  <si>
    <t>元/GJ</t>
  </si>
  <si>
    <t>万GJ</t>
  </si>
  <si>
    <t>低压蒸汽</t>
  </si>
  <si>
    <t>销售收入合计</t>
  </si>
  <si>
    <t>销项税合计</t>
  </si>
  <si>
    <t>消费费合计</t>
  </si>
  <si>
    <t>五环：28679</t>
  </si>
  <si>
    <t>销售税金</t>
  </si>
  <si>
    <t>满负荷年份值</t>
  </si>
  <si>
    <t>生产负荷</t>
  </si>
  <si>
    <t>销项税</t>
  </si>
  <si>
    <t>进项税（生产期）</t>
  </si>
  <si>
    <t>固产资产进项税抵扣
（建设期）</t>
  </si>
  <si>
    <t>营业税金及附加</t>
  </si>
  <si>
    <t>营业税</t>
  </si>
  <si>
    <t>消费税</t>
  </si>
  <si>
    <t>城建及教育费附加</t>
  </si>
  <si>
    <t>建设建设维护税</t>
  </si>
  <si>
    <t>教育费附加</t>
  </si>
  <si>
    <t>所得税</t>
  </si>
  <si>
    <t>一+二</t>
  </si>
  <si>
    <t xml:space="preserve">五环数据 </t>
  </si>
  <si>
    <t>差值</t>
  </si>
  <si>
    <t>流动资金估算表</t>
  </si>
  <si>
    <t xml:space="preserve">应收帐款=年经营成本/应收帐款周转次数   周转次数=360/周转天数
存货=外购原材料、燃料+其它材料+在产品+产成品 
各项=该项/周转次数
在产品=（年外购原产、燃料动力+年工资福利+年修理费+年其它制造费用）/周转次数
产成品=（年经营成本-年营业费用）/周转次数
现金=（年工资福利+年其它费用）/周转次数
年其它费用=制造费用+管理费用+营业费用-（以上三项中所含的工资福利、折旧、摊销、修理费）  以上依据：P91
应付帐款=外购原材料、燃料动力及其它材料费/周转次数
流动资金=流动资产-流动负债  流动资金年增加额=本年流动资金-上年流动资金
</t>
  </si>
  <si>
    <t>(单位：万元)</t>
  </si>
  <si>
    <t xml:space="preserve">           年份
项目</t>
  </si>
  <si>
    <t>最低周转天数</t>
  </si>
  <si>
    <t>周转次数</t>
  </si>
  <si>
    <t>生产期</t>
  </si>
  <si>
    <t>流动资产</t>
  </si>
  <si>
    <t>应收账款</t>
  </si>
  <si>
    <t>存货</t>
  </si>
  <si>
    <t>1.2.1</t>
  </si>
  <si>
    <t>原材料</t>
  </si>
  <si>
    <t>原料煤（块煤）</t>
  </si>
  <si>
    <t>原料煤（粉煤）</t>
  </si>
  <si>
    <t>1.2.2</t>
  </si>
  <si>
    <t>燃料</t>
  </si>
  <si>
    <t>1.2.3</t>
  </si>
  <si>
    <t>在产品</t>
  </si>
  <si>
    <t>1.2.4</t>
  </si>
  <si>
    <t>产成品</t>
  </si>
  <si>
    <t>1.2.5</t>
  </si>
  <si>
    <t>1.2.6</t>
  </si>
  <si>
    <t>其它</t>
  </si>
  <si>
    <t>现金</t>
  </si>
  <si>
    <t>2.</t>
  </si>
  <si>
    <t>流动负债</t>
  </si>
  <si>
    <t>2.1</t>
  </si>
  <si>
    <t>应付账款</t>
  </si>
  <si>
    <t>3.</t>
  </si>
  <si>
    <t>4.</t>
  </si>
  <si>
    <t>流动资金本年增加</t>
  </si>
  <si>
    <t>调整系数</t>
  </si>
  <si>
    <r>
      <rPr>
        <u/>
        <sz val="18"/>
        <color theme="10"/>
        <rFont val="宋体"/>
        <charset val="134"/>
        <scheme val="minor"/>
      </rPr>
      <t>分年投资计划和资金筹措表（单位：万元）</t>
    </r>
  </si>
  <si>
    <r>
      <rPr>
        <sz val="10"/>
        <color theme="1"/>
        <rFont val="宋体"/>
        <charset val="134"/>
        <scheme val="minor"/>
      </rPr>
      <t>有宽限期，该笔借款发生年起至投产年初止的期间。</t>
    </r>
    <r>
      <rPr>
        <sz val="10"/>
        <color rgb="FFFF0000"/>
        <rFont val="宋体"/>
        <charset val="134"/>
        <scheme val="minor"/>
      </rPr>
      <t>在宽限期内（建设期内）不偿还本金</t>
    </r>
    <r>
      <rPr>
        <sz val="10"/>
        <color theme="1"/>
        <rFont val="宋体"/>
        <charset val="134"/>
        <scheme val="minor"/>
      </rPr>
      <t>，当年建设期利息只计不付并入下年借款本金，投产年初的该笔借款余额 = 该笔借款初始本金 + 各年建设期利息。投产年初的该笔借款余额作为新的借款本金，在投产经营后，在一定年限（偿还期）内，一般采用逐年等额还本，按各年本金余额计算利息。也有在偿还期内，采用等额还本息方式，此方式各年偿还本金不等.</t>
    </r>
  </si>
  <si>
    <t>右边这个表是考虑建设期也偿还利息，每年偿还利息。</t>
  </si>
  <si>
    <t>项目\年份</t>
  </si>
  <si>
    <t>合计</t>
  </si>
  <si>
    <t>建设期是否还利息</t>
  </si>
  <si>
    <t>1.</t>
  </si>
  <si>
    <t>投资计划</t>
  </si>
  <si>
    <t>（不还填1，要还填0）</t>
  </si>
  <si>
    <t>1.1</t>
  </si>
  <si>
    <t>建设投资的70%</t>
  </si>
  <si>
    <t>1.2</t>
  </si>
  <si>
    <t>当年贷款额</t>
  </si>
  <si>
    <t>当年应计利息</t>
  </si>
  <si>
    <t>期初借款余额</t>
  </si>
  <si>
    <t>期未借款余额</t>
  </si>
  <si>
    <t>1.3</t>
  </si>
  <si>
    <t>小计</t>
  </si>
  <si>
    <t>融资计划</t>
  </si>
  <si>
    <t>资本金</t>
  </si>
  <si>
    <t>2.1.1</t>
  </si>
  <si>
    <t>用于固定资产投资</t>
  </si>
  <si>
    <t>2.1.2</t>
  </si>
  <si>
    <t>用于流动资金</t>
  </si>
  <si>
    <t>2.2</t>
  </si>
  <si>
    <t>借款</t>
  </si>
  <si>
    <t>2.2.1</t>
  </si>
  <si>
    <t>长期借款</t>
  </si>
  <si>
    <t>其中：建设投资借款</t>
  </si>
  <si>
    <t xml:space="preserve">      建设期利息借款</t>
  </si>
  <si>
    <t>2.2.2</t>
  </si>
  <si>
    <t>流动资金借款</t>
  </si>
  <si>
    <t>2.2.3</t>
  </si>
  <si>
    <t>短期借款</t>
  </si>
  <si>
    <t>2.3</t>
  </si>
  <si>
    <t>各年应计利息=（年初借款本金累计+本年借款额/2）*有效年利率。依据：P93  建设期不考虑还款，生产期还款</t>
  </si>
  <si>
    <t>各年应计利息=（年初借款本金累计+本年借款额/2）*有效年利率。依据：P93  建设期还当年借款利息</t>
  </si>
  <si>
    <t>折旧摊销</t>
  </si>
  <si>
    <t>选择折旧方法</t>
  </si>
  <si>
    <t>平均年限法</t>
  </si>
  <si>
    <t>分类计提法</t>
  </si>
  <si>
    <t>计算方法：
 年折旧额=固定资产原值*（1-残值率）/折旧年限 。摊销采用平均年限法，不计残值。依据P95 
折旧年限取15年。残值率3%  直线折旧法</t>
  </si>
  <si>
    <t xml:space="preserve">固定资产原值 </t>
  </si>
  <si>
    <t>固定资产折旧费</t>
  </si>
  <si>
    <t xml:space="preserve">固定资产净值 </t>
  </si>
  <si>
    <t xml:space="preserve">固定资产残值 </t>
  </si>
  <si>
    <t>残值率3%</t>
  </si>
  <si>
    <t>无形资产原值</t>
  </si>
  <si>
    <t>年摊销费(10年)</t>
  </si>
  <si>
    <t>无形资产净值</t>
  </si>
  <si>
    <t>其它资产原值</t>
  </si>
  <si>
    <t>年摊销费（5年）</t>
  </si>
  <si>
    <t>其它资产净值</t>
  </si>
  <si>
    <t>摊销费（无形+其它）合计</t>
  </si>
  <si>
    <t>折旧+摊销</t>
  </si>
  <si>
    <t>以下是按分类计提折旧法计算的结果</t>
  </si>
  <si>
    <t>机械设备
（10年）</t>
  </si>
  <si>
    <t>原值</t>
  </si>
  <si>
    <t>房屋建筑
（20年）</t>
  </si>
  <si>
    <t>每年累计折旧费</t>
  </si>
  <si>
    <t>固定资产净值</t>
  </si>
  <si>
    <t>还本付息计算表</t>
  </si>
  <si>
    <t>有宽限期，该笔借款发生年起至投产年初止的期间。在宽限期内（建设期内）不偿还本金，当年建设期利息只计不付并入下年借款本金，投产年初的该笔借款余额 = 该笔借款初始本金 + 各年建设期利息。投产年初的该笔借款余额作为新的借款本金，在投产经营后，在一定年限（偿还期）内，采用等额还本付息方式，此方式各年偿还本金不等。A=I*i*(1+i)^n/((1+i)^n)-1) A还款额 i利息 I借款余额</t>
  </si>
  <si>
    <t>长期借款利率(建设期）</t>
  </si>
  <si>
    <t>短期借款利率（流动资金）</t>
  </si>
  <si>
    <t>长期借款偿还期</t>
  </si>
  <si>
    <t>注：可研是用的最大还款能力计算</t>
  </si>
  <si>
    <t>建设期借款还本付息</t>
  </si>
  <si>
    <t>年初借款余额</t>
  </si>
  <si>
    <t>当年还本付息</t>
  </si>
  <si>
    <t>当年还本</t>
  </si>
  <si>
    <t>当年付息</t>
  </si>
  <si>
    <t>流动资金还本付息</t>
  </si>
  <si>
    <t>当年利息合计</t>
  </si>
  <si>
    <t>利息支出方式
等额还本付息-1</t>
  </si>
  <si>
    <t>利息支出方式
等额还本利息照付-0</t>
  </si>
  <si>
    <t>建设期还利息吗
还=1 ，不还=0</t>
  </si>
  <si>
    <t>最大还款能力偿还</t>
  </si>
  <si>
    <t>长期借款还本付息</t>
  </si>
  <si>
    <t>年初借款累计</t>
  </si>
  <si>
    <t>本年借款</t>
  </si>
  <si>
    <t>本年应计利息</t>
  </si>
  <si>
    <t>本年还本</t>
  </si>
  <si>
    <t>本年付息</t>
  </si>
  <si>
    <t>当年借款</t>
  </si>
  <si>
    <t>偿还资本金来源</t>
  </si>
  <si>
    <t>可用的还款额</t>
  </si>
  <si>
    <t>未分配利润</t>
  </si>
  <si>
    <t>折旧</t>
  </si>
  <si>
    <t>摊销</t>
  </si>
  <si>
    <t>本年还本付息</t>
  </si>
  <si>
    <t>本年支付利息</t>
  </si>
  <si>
    <t>总成本费用表</t>
  </si>
  <si>
    <t>生产成本</t>
  </si>
  <si>
    <t>真接材料燃料和动力</t>
  </si>
  <si>
    <t>直接工资和福利</t>
  </si>
  <si>
    <t>制造费用</t>
  </si>
  <si>
    <t>1.3.1</t>
  </si>
  <si>
    <t>折旧费</t>
  </si>
  <si>
    <t>1.3.2</t>
  </si>
  <si>
    <t>1.3.3</t>
  </si>
  <si>
    <t>其它制造费</t>
  </si>
  <si>
    <t>1.3.4</t>
  </si>
  <si>
    <t>1.3.5</t>
  </si>
  <si>
    <t>管理费用</t>
  </si>
  <si>
    <t>无形资产摊销</t>
  </si>
  <si>
    <t>其它资产摊销</t>
  </si>
  <si>
    <t>其它管理费用</t>
  </si>
  <si>
    <t>安全生产费</t>
  </si>
  <si>
    <t>财务费用</t>
  </si>
  <si>
    <t>长期借款利息</t>
  </si>
  <si>
    <t>流动资金利息</t>
  </si>
  <si>
    <t>营业费用</t>
  </si>
  <si>
    <t>渣场另一办建设成本</t>
  </si>
  <si>
    <t>总成本费用（1到10）</t>
  </si>
  <si>
    <t>其中可变成本</t>
  </si>
  <si>
    <t>固定成本</t>
  </si>
  <si>
    <t>盈亏平衡点</t>
  </si>
  <si>
    <t>年均总成本</t>
  </si>
  <si>
    <t>损益表</t>
  </si>
  <si>
    <t>产品销售收入</t>
  </si>
  <si>
    <t>年总成本费用</t>
  </si>
  <si>
    <t>可变成本</t>
  </si>
  <si>
    <t>年总成本费用A</t>
  </si>
  <si>
    <t>利息</t>
  </si>
  <si>
    <t>净水厂等费用</t>
  </si>
  <si>
    <t>利润总额</t>
  </si>
  <si>
    <t>弥补前年度亏损额</t>
  </si>
  <si>
    <t>应纳税所得额</t>
  </si>
  <si>
    <t>税后利润</t>
  </si>
  <si>
    <t>盈余公积及公益金</t>
  </si>
  <si>
    <t>应付利润</t>
  </si>
  <si>
    <t>累计未分配利润</t>
  </si>
  <si>
    <t>所得税总额</t>
  </si>
  <si>
    <t>税后利润总额</t>
  </si>
  <si>
    <t>年均税后利润</t>
  </si>
  <si>
    <t xml:space="preserve"> 财务计划现金流量表 </t>
  </si>
  <si>
    <t>（单位：万元)</t>
  </si>
  <si>
    <t xml:space="preserve">               年份 
项目</t>
  </si>
  <si>
    <t>经营活动净现金流量</t>
  </si>
  <si>
    <t>现金流入</t>
  </si>
  <si>
    <t>1.1.1</t>
  </si>
  <si>
    <t>营业收入</t>
  </si>
  <si>
    <t>1.1.2</t>
  </si>
  <si>
    <t>其他流入</t>
  </si>
  <si>
    <t>现金流出</t>
  </si>
  <si>
    <t>投资活动净现金流量</t>
  </si>
  <si>
    <t>维持营运投资</t>
  </si>
  <si>
    <t>筹资活动净现金流量</t>
  </si>
  <si>
    <t>3.1</t>
  </si>
  <si>
    <t>3.1.1</t>
  </si>
  <si>
    <t>建设投资中自有资金</t>
  </si>
  <si>
    <t>3.1.2</t>
  </si>
  <si>
    <t>流动资金中自有资金</t>
  </si>
  <si>
    <t>3.1.3</t>
  </si>
  <si>
    <t>建设投资借款</t>
  </si>
  <si>
    <t>3.1.4</t>
  </si>
  <si>
    <t>3.1.5</t>
  </si>
  <si>
    <t>3.2</t>
  </si>
  <si>
    <t>3.2.1</t>
  </si>
  <si>
    <t>各种利息支出</t>
  </si>
  <si>
    <t>3.2.2</t>
  </si>
  <si>
    <t>偿还债务本金</t>
  </si>
  <si>
    <t>3.2.3</t>
  </si>
  <si>
    <t>净现金流量</t>
  </si>
  <si>
    <t>5.</t>
  </si>
  <si>
    <t>累计盈余资金</t>
  </si>
  <si>
    <t>项目投资现金流量表</t>
  </si>
  <si>
    <t>年份</t>
  </si>
  <si>
    <t xml:space="preserve">产品销售收入  </t>
  </si>
  <si>
    <t xml:space="preserve">回收固定资产余值  </t>
  </si>
  <si>
    <t>回收流动资金</t>
  </si>
  <si>
    <t>补贴收入（进项税）</t>
  </si>
  <si>
    <t xml:space="preserve">建设投资  </t>
  </si>
  <si>
    <t>调整所得税</t>
  </si>
  <si>
    <t>利息支出</t>
  </si>
  <si>
    <t>净现金流量（税后）</t>
  </si>
  <si>
    <t>累计净现金流量</t>
  </si>
  <si>
    <t>所得税前净现金流量</t>
  </si>
  <si>
    <t>税前累计净现金流量</t>
  </si>
  <si>
    <t>贷款利息所得税调整</t>
  </si>
  <si>
    <t xml:space="preserve">所得税前 </t>
  </si>
  <si>
    <t>所得税后</t>
  </si>
  <si>
    <t>计算指标：</t>
  </si>
  <si>
    <t xml:space="preserve">财务净现值=  </t>
  </si>
  <si>
    <t xml:space="preserve">折现率= </t>
  </si>
  <si>
    <t xml:space="preserve">内部收益率= </t>
  </si>
  <si>
    <t xml:space="preserve">折现率=  </t>
  </si>
  <si>
    <t>投资回收期=</t>
  </si>
  <si>
    <t>含建设期</t>
  </si>
  <si>
    <t>项目资本金现金流量表</t>
  </si>
  <si>
    <t xml:space="preserve">产品销售收入 </t>
  </si>
  <si>
    <t xml:space="preserve">回收固定资产余值 </t>
  </si>
  <si>
    <t xml:space="preserve">建设投资中自有资金 </t>
  </si>
  <si>
    <t>借款本金偿还</t>
  </si>
  <si>
    <t>借款利息支付</t>
  </si>
  <si>
    <t>财务净现值=</t>
  </si>
  <si>
    <t>敏感性分析</t>
  </si>
  <si>
    <t>不确定性因素</t>
  </si>
  <si>
    <t>初始值</t>
  </si>
  <si>
    <t>参数值</t>
  </si>
  <si>
    <t>不确定性因素变化率</t>
  </si>
  <si>
    <t>税前内部收益率</t>
  </si>
  <si>
    <t>税后内部收益率</t>
  </si>
  <si>
    <t>基本方案</t>
  </si>
  <si>
    <t xml:space="preserve">175/225 </t>
  </si>
  <si>
    <t>到参数表</t>
  </si>
  <si>
    <t>煤价</t>
  </si>
  <si>
    <t>气价</t>
  </si>
  <si>
    <t>到建设投资</t>
  </si>
  <si>
    <t>产品产量
（含副产品）</t>
  </si>
  <si>
    <t>到销售收入</t>
  </si>
  <si>
    <t>变化率</t>
  </si>
  <si>
    <t xml:space="preserve">收益率变化 </t>
  </si>
  <si>
    <t>产量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</si>
</sst>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.00;[Red]\¥\-#,##0.00"/>
    <numFmt numFmtId="178" formatCode="0.00_ "/>
    <numFmt numFmtId="179" formatCode="0_);[Red]\(0\)"/>
    <numFmt numFmtId="180" formatCode="#\ ?/?"/>
    <numFmt numFmtId="181" formatCode="0.00_);[Red]\(0.00\)"/>
    <numFmt numFmtId="182" formatCode="0;[Red]0"/>
    <numFmt numFmtId="183" formatCode="0.00;[Red]0.00"/>
  </numFmts>
  <fonts count="126">
    <font>
      <sz val="11"/>
      <color theme="1"/>
      <name val="宋体"/>
      <charset val="134"/>
      <scheme val="minor"/>
    </font>
    <font>
      <b/>
      <u/>
      <sz val="16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name val="宋体"/>
      <charset val="134"/>
    </font>
    <font>
      <u/>
      <sz val="20"/>
      <color theme="10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22"/>
      <color theme="10"/>
      <name val="黑体"/>
      <charset val="134"/>
    </font>
    <font>
      <sz val="12"/>
      <color theme="0" tint="-0.0499893185216834"/>
      <name val="宋体"/>
      <charset val="134"/>
    </font>
    <font>
      <sz val="10"/>
      <name val="楷体"/>
      <charset val="134"/>
    </font>
    <font>
      <u/>
      <sz val="26"/>
      <color theme="10"/>
      <name val="等线"/>
      <charset val="134"/>
    </font>
    <font>
      <b/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sz val="10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 tint="-0.249977111117893"/>
      <name val="宋体"/>
      <charset val="134"/>
      <scheme val="minor"/>
    </font>
    <font>
      <sz val="11"/>
      <color theme="0" tint="-0.249977111117893"/>
      <name val="宋体"/>
      <charset val="134"/>
      <scheme val="minor"/>
    </font>
    <font>
      <sz val="10"/>
      <color theme="0" tint="-0.249977111117893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18"/>
      <color theme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FF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0"/>
      <color rgb="FF0070C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26"/>
      <color theme="10"/>
      <name val="黑体"/>
      <charset val="134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u/>
      <sz val="18"/>
      <color theme="10"/>
      <name val="宋体"/>
      <charset val="134"/>
      <scheme val="minor"/>
    </font>
    <font>
      <u/>
      <sz val="18"/>
      <color theme="10"/>
      <name val="宋体"/>
      <charset val="134"/>
      <scheme val="minor"/>
    </font>
    <font>
      <u/>
      <sz val="10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color rgb="FFFF0000"/>
      <name val="Arial"/>
      <charset val="134"/>
    </font>
    <font>
      <sz val="18"/>
      <name val="等线"/>
      <charset val="134"/>
    </font>
    <font>
      <sz val="16"/>
      <name val="等线"/>
      <charset val="134"/>
    </font>
    <font>
      <sz val="18"/>
      <color theme="10"/>
      <name val="宋体"/>
      <charset val="134"/>
      <scheme val="minor"/>
    </font>
    <font>
      <sz val="14"/>
      <name val="等线"/>
      <charset val="134"/>
    </font>
    <font>
      <b/>
      <sz val="12"/>
      <color rgb="FFFF0000"/>
      <name val="宋体"/>
      <charset val="134"/>
    </font>
    <font>
      <sz val="10"/>
      <color rgb="FFC00000"/>
      <name val="黑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0" tint="-0.499984740745262"/>
      <name val="宋体"/>
      <charset val="134"/>
    </font>
    <font>
      <sz val="12"/>
      <color indexed="17"/>
      <name val="宋体"/>
      <charset val="134"/>
    </font>
    <font>
      <b/>
      <sz val="12"/>
      <color indexed="17"/>
      <name val="宋体"/>
      <charset val="134"/>
    </font>
    <font>
      <b/>
      <sz val="11"/>
      <color rgb="FF0070C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7"/>
      <name val="宋体"/>
      <charset val="134"/>
      <scheme val="minor"/>
    </font>
    <font>
      <sz val="10"/>
      <color theme="0" tint="-0.149998474074526"/>
      <name val="宋体"/>
      <charset val="134"/>
      <scheme val="minor"/>
    </font>
    <font>
      <b/>
      <u/>
      <sz val="22"/>
      <color theme="10"/>
      <name val="宋体"/>
      <charset val="134"/>
      <scheme val="minor"/>
    </font>
    <font>
      <b/>
      <sz val="10"/>
      <color theme="0"/>
      <name val="宋体"/>
      <charset val="134"/>
    </font>
    <font>
      <b/>
      <sz val="9"/>
      <color theme="0"/>
      <name val="宋体"/>
      <charset val="134"/>
    </font>
    <font>
      <b/>
      <sz val="10"/>
      <color theme="0"/>
      <name val="Arial"/>
      <charset val="134"/>
    </font>
    <font>
      <b/>
      <sz val="9"/>
      <color theme="0"/>
      <name val="Arial"/>
      <charset val="134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宋体"/>
      <charset val="134"/>
    </font>
    <font>
      <b/>
      <sz val="11"/>
      <color theme="1"/>
      <name val="Arial"/>
      <charset val="134"/>
    </font>
    <font>
      <b/>
      <sz val="9"/>
      <color theme="1"/>
      <name val="Arial"/>
      <charset val="134"/>
    </font>
    <font>
      <b/>
      <sz val="9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b/>
      <sz val="8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b/>
      <sz val="9"/>
      <color theme="0" tint="-0.149998474074526"/>
      <name val="宋体"/>
      <charset val="134"/>
    </font>
    <font>
      <sz val="9"/>
      <color theme="0" tint="-0.149998474074526"/>
      <name val="Times New Roman"/>
      <charset val="134"/>
    </font>
    <font>
      <b/>
      <sz val="11"/>
      <color theme="0" tint="-0.149998474074526"/>
      <name val="宋体"/>
      <charset val="134"/>
    </font>
    <font>
      <b/>
      <sz val="9"/>
      <color theme="0" tint="-0.149998474074526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11"/>
      <color theme="0" tint="-0.499984740745262"/>
      <name val="宋体"/>
      <charset val="134"/>
      <scheme val="minor"/>
    </font>
    <font>
      <sz val="11"/>
      <color theme="0" tint="-0.499984740745262"/>
      <name val="宋体"/>
      <charset val="134"/>
      <scheme val="minor"/>
    </font>
    <font>
      <sz val="12"/>
      <color rgb="FFFFFF00"/>
      <name val="黑体"/>
      <charset val="134"/>
    </font>
    <font>
      <sz val="14"/>
      <color rgb="FFFFFF00"/>
      <name val="黑体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9"/>
      <color theme="1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color rgb="FFFF0000"/>
      <name val="宋体"/>
      <charset val="134"/>
      <scheme val="minor"/>
    </font>
    <font>
      <b/>
      <sz val="9"/>
      <color theme="0"/>
      <name val="Arial"/>
      <charset val="134"/>
    </font>
    <font>
      <sz val="9"/>
      <color theme="0" tint="-0.149998474074526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1" fillId="0" borderId="0" applyFont="0" applyFill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3" fillId="33" borderId="17" applyNumberFormat="0" applyAlignment="0" applyProtection="0">
      <alignment vertical="center"/>
    </xf>
    <xf numFmtId="44" fontId="101" fillId="0" borderId="0" applyFont="0" applyFill="0" applyBorder="0" applyAlignment="0" applyProtection="0">
      <alignment vertical="center"/>
    </xf>
    <xf numFmtId="41" fontId="101" fillId="0" borderId="0" applyFont="0" applyFill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>
      <alignment vertical="center"/>
    </xf>
    <xf numFmtId="0" fontId="105" fillId="3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1" fillId="37" borderId="18" applyNumberFormat="0" applyFont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05" fillId="39" borderId="0" applyNumberFormat="0" applyBorder="0" applyAlignment="0" applyProtection="0">
      <alignment vertical="center"/>
    </xf>
    <xf numFmtId="0" fontId="107" fillId="0" borderId="20" applyNumberFormat="0" applyFill="0" applyAlignment="0" applyProtection="0">
      <alignment vertical="center"/>
    </xf>
    <xf numFmtId="0" fontId="105" fillId="40" borderId="0" applyNumberFormat="0" applyBorder="0" applyAlignment="0" applyProtection="0">
      <alignment vertical="center"/>
    </xf>
    <xf numFmtId="0" fontId="113" fillId="41" borderId="21" applyNumberFormat="0" applyAlignment="0" applyProtection="0">
      <alignment vertical="center"/>
    </xf>
    <xf numFmtId="0" fontId="114" fillId="41" borderId="17" applyNumberFormat="0" applyAlignment="0" applyProtection="0">
      <alignment vertical="center"/>
    </xf>
    <xf numFmtId="0" fontId="115" fillId="42" borderId="22" applyNumberFormat="0" applyAlignment="0" applyProtection="0">
      <alignment vertical="center"/>
    </xf>
    <xf numFmtId="0" fontId="102" fillId="43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16" fillId="0" borderId="23" applyNumberFormat="0" applyFill="0" applyAlignment="0" applyProtection="0">
      <alignment vertical="center"/>
    </xf>
    <xf numFmtId="0" fontId="117" fillId="0" borderId="24" applyNumberFormat="0" applyFill="0" applyAlignment="0" applyProtection="0">
      <alignment vertical="center"/>
    </xf>
    <xf numFmtId="0" fontId="118" fillId="45" borderId="0" applyNumberFormat="0" applyBorder="0" applyAlignment="0" applyProtection="0">
      <alignment vertical="center"/>
    </xf>
    <xf numFmtId="0" fontId="119" fillId="46" borderId="0" applyNumberFormat="0" applyBorder="0" applyAlignment="0" applyProtection="0">
      <alignment vertical="center"/>
    </xf>
    <xf numFmtId="0" fontId="102" fillId="47" borderId="0" applyNumberFormat="0" applyBorder="0" applyAlignment="0" applyProtection="0">
      <alignment vertical="center"/>
    </xf>
    <xf numFmtId="0" fontId="105" fillId="48" borderId="0" applyNumberFormat="0" applyBorder="0" applyAlignment="0" applyProtection="0">
      <alignment vertical="center"/>
    </xf>
    <xf numFmtId="0" fontId="4" fillId="0" borderId="0">
      <alignment vertical="center"/>
    </xf>
    <xf numFmtId="0" fontId="102" fillId="49" borderId="0" applyNumberFormat="0" applyBorder="0" applyAlignment="0" applyProtection="0">
      <alignment vertical="center"/>
    </xf>
    <xf numFmtId="0" fontId="102" fillId="50" borderId="0" applyNumberFormat="0" applyBorder="0" applyAlignment="0" applyProtection="0">
      <alignment vertical="center"/>
    </xf>
    <xf numFmtId="0" fontId="102" fillId="51" borderId="0" applyNumberFormat="0" applyBorder="0" applyAlignment="0" applyProtection="0">
      <alignment vertical="center"/>
    </xf>
    <xf numFmtId="0" fontId="102" fillId="52" borderId="0" applyNumberFormat="0" applyBorder="0" applyAlignment="0" applyProtection="0">
      <alignment vertical="center"/>
    </xf>
    <xf numFmtId="0" fontId="105" fillId="53" borderId="0" applyNumberFormat="0" applyBorder="0" applyAlignment="0" applyProtection="0">
      <alignment vertical="center"/>
    </xf>
    <xf numFmtId="0" fontId="105" fillId="54" borderId="0" applyNumberFormat="0" applyBorder="0" applyAlignment="0" applyProtection="0">
      <alignment vertical="center"/>
    </xf>
    <xf numFmtId="0" fontId="102" fillId="55" borderId="0" applyNumberFormat="0" applyBorder="0" applyAlignment="0" applyProtection="0">
      <alignment vertical="center"/>
    </xf>
    <xf numFmtId="0" fontId="102" fillId="56" borderId="0" applyNumberFormat="0" applyBorder="0" applyAlignment="0" applyProtection="0">
      <alignment vertical="center"/>
    </xf>
    <xf numFmtId="0" fontId="105" fillId="57" borderId="0" applyNumberFormat="0" applyBorder="0" applyAlignment="0" applyProtection="0">
      <alignment vertical="center"/>
    </xf>
    <xf numFmtId="0" fontId="102" fillId="58" borderId="0" applyNumberFormat="0" applyBorder="0" applyAlignment="0" applyProtection="0">
      <alignment vertical="center"/>
    </xf>
    <xf numFmtId="0" fontId="105" fillId="59" borderId="0" applyNumberFormat="0" applyBorder="0" applyAlignment="0" applyProtection="0">
      <alignment vertical="center"/>
    </xf>
    <xf numFmtId="0" fontId="105" fillId="60" borderId="0" applyNumberFormat="0" applyBorder="0" applyAlignment="0" applyProtection="0">
      <alignment vertical="center"/>
    </xf>
    <xf numFmtId="0" fontId="102" fillId="61" borderId="0" applyNumberFormat="0" applyBorder="0" applyAlignment="0" applyProtection="0">
      <alignment vertical="center"/>
    </xf>
    <xf numFmtId="0" fontId="105" fillId="62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</cellStyleXfs>
  <cellXfs count="601">
    <xf numFmtId="0" fontId="0" fillId="0" borderId="0" xfId="0">
      <alignment vertical="center"/>
    </xf>
    <xf numFmtId="0" fontId="1" fillId="0" borderId="1" xfId="1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9" fontId="2" fillId="2" borderId="2" xfId="0" applyNumberFormat="1" applyFont="1" applyFill="1" applyBorder="1">
      <alignment vertical="center"/>
    </xf>
    <xf numFmtId="10" fontId="0" fillId="2" borderId="2" xfId="0" applyNumberFormat="1" applyFill="1" applyBorder="1">
      <alignment vertical="center"/>
    </xf>
    <xf numFmtId="0" fontId="2" fillId="2" borderId="2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1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top"/>
    </xf>
    <xf numFmtId="176" fontId="7" fillId="0" borderId="2" xfId="0" applyNumberFormat="1" applyFont="1" applyFill="1" applyBorder="1" applyAlignment="1" applyProtection="1">
      <alignment horizontal="center" vertical="top" wrapText="1"/>
    </xf>
    <xf numFmtId="176" fontId="7" fillId="0" borderId="2" xfId="0" applyNumberFormat="1" applyFont="1" applyFill="1" applyBorder="1" applyAlignment="1" applyProtection="1">
      <alignment horizontal="center"/>
    </xf>
    <xf numFmtId="0" fontId="8" fillId="3" borderId="0" xfId="0" applyNumberFormat="1" applyFont="1" applyFill="1" applyBorder="1" applyAlignment="1" applyProtection="1">
      <alignment horizontal="center" vertical="center" wrapText="1"/>
    </xf>
    <xf numFmtId="10" fontId="8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horizontal="center" vertical="center"/>
    </xf>
    <xf numFmtId="177" fontId="8" fillId="3" borderId="0" xfId="0" applyNumberFormat="1" applyFont="1" applyFill="1" applyBorder="1" applyAlignment="1" applyProtection="1">
      <alignment horizontal="center" vertical="center"/>
    </xf>
    <xf numFmtId="9" fontId="8" fillId="3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9" fillId="0" borderId="0" xfId="1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left" vertical="top" indent="3"/>
    </xf>
    <xf numFmtId="0" fontId="4" fillId="0" borderId="2" xfId="0" applyNumberFormat="1" applyFont="1" applyFill="1" applyBorder="1" applyAlignment="1" applyProtection="1">
      <alignment horizontal="left" vertical="top" indent="1"/>
    </xf>
    <xf numFmtId="0" fontId="4" fillId="0" borderId="2" xfId="0" applyNumberFormat="1" applyFont="1" applyFill="1" applyBorder="1" applyAlignment="1" applyProtection="1">
      <alignment horizontal="left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left" vertical="top" indent="1"/>
    </xf>
    <xf numFmtId="176" fontId="7" fillId="5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76" fontId="7" fillId="5" borderId="2" xfId="0" applyNumberFormat="1" applyFont="1" applyFill="1" applyBorder="1" applyAlignment="1" applyProtection="1">
      <alignment horizontal="right" vertical="top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2" xfId="0" applyNumberFormat="1" applyFont="1" applyFill="1" applyBorder="1" applyAlignment="1" applyProtection="1">
      <alignment horizontal="left" vertical="top" wrapText="1" indent="1"/>
    </xf>
    <xf numFmtId="0" fontId="6" fillId="6" borderId="2" xfId="0" applyNumberFormat="1" applyFont="1" applyFill="1" applyBorder="1" applyAlignment="1" applyProtection="1">
      <alignment horizontal="center" vertical="top"/>
    </xf>
    <xf numFmtId="0" fontId="6" fillId="6" borderId="2" xfId="0" applyNumberFormat="1" applyFont="1" applyFill="1" applyBorder="1" applyAlignment="1" applyProtection="1">
      <alignment horizontal="left" vertical="top" indent="1"/>
    </xf>
    <xf numFmtId="176" fontId="7" fillId="5" borderId="2" xfId="0" applyNumberFormat="1" applyFont="1" applyFill="1" applyBorder="1" applyAlignment="1" applyProtection="1">
      <alignment horizontal="right" vertical="center" wrapText="1"/>
    </xf>
    <xf numFmtId="0" fontId="4" fillId="7" borderId="2" xfId="0" applyNumberFormat="1" applyFont="1" applyFill="1" applyBorder="1" applyAlignment="1" applyProtection="1">
      <alignment horizontal="center" vertical="top"/>
    </xf>
    <xf numFmtId="0" fontId="4" fillId="7" borderId="2" xfId="0" applyNumberFormat="1" applyFont="1" applyFill="1" applyBorder="1" applyAlignment="1" applyProtection="1">
      <alignment horizontal="left" vertical="top" indent="1"/>
    </xf>
    <xf numFmtId="0" fontId="4" fillId="8" borderId="2" xfId="0" applyNumberFormat="1" applyFont="1" applyFill="1" applyBorder="1" applyAlignment="1" applyProtection="1">
      <alignment horizontal="center" vertical="top"/>
    </xf>
    <xf numFmtId="0" fontId="4" fillId="8" borderId="2" xfId="0" applyNumberFormat="1" applyFont="1" applyFill="1" applyBorder="1" applyAlignment="1" applyProtection="1">
      <alignment horizontal="left" vertical="top" inden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 indent="1"/>
    </xf>
    <xf numFmtId="176" fontId="7" fillId="5" borderId="0" xfId="0" applyNumberFormat="1" applyFont="1" applyFill="1" applyBorder="1" applyAlignment="1" applyProtection="1">
      <alignment horizontal="right" vertical="center"/>
    </xf>
    <xf numFmtId="0" fontId="4" fillId="9" borderId="0" xfId="0" applyNumberFormat="1" applyFont="1" applyFill="1" applyBorder="1" applyAlignment="1" applyProtection="1">
      <alignment horizontal="justify" vertical="top"/>
    </xf>
    <xf numFmtId="0" fontId="11" fillId="9" borderId="0" xfId="0" applyNumberFormat="1" applyFont="1" applyFill="1" applyBorder="1" applyAlignment="1" applyProtection="1">
      <alignment horizontal="left" vertical="top" indent="1"/>
    </xf>
    <xf numFmtId="176" fontId="11" fillId="9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justify" vertical="top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8" borderId="0" xfId="0" applyNumberFormat="1" applyFont="1" applyFill="1" applyBorder="1" applyAlignment="1" applyProtection="1">
      <alignment horizontal="left" vertical="center"/>
    </xf>
    <xf numFmtId="176" fontId="4" fillId="7" borderId="0" xfId="0" applyNumberFormat="1" applyFont="1" applyFill="1" applyBorder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77" fontId="7" fillId="8" borderId="2" xfId="0" applyNumberFormat="1" applyFont="1" applyFill="1" applyBorder="1" applyAlignment="1" applyProtection="1">
      <alignment horizontal="left" vertical="center" wrapText="1"/>
    </xf>
    <xf numFmtId="177" fontId="7" fillId="7" borderId="2" xfId="0" applyNumberFormat="1" applyFont="1" applyFill="1" applyBorder="1" applyAlignment="1" applyProtection="1">
      <alignment horizontal="left" vertical="center" wrapText="1"/>
    </xf>
    <xf numFmtId="1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10" fontId="7" fillId="8" borderId="2" xfId="0" applyNumberFormat="1" applyFont="1" applyFill="1" applyBorder="1" applyAlignment="1" applyProtection="1">
      <alignment horizontal="left" vertical="center"/>
    </xf>
    <xf numFmtId="10" fontId="7" fillId="7" borderId="2" xfId="0" applyNumberFormat="1" applyFont="1" applyFill="1" applyBorder="1" applyAlignment="1" applyProtection="1">
      <alignment horizontal="left" vertical="center"/>
    </xf>
    <xf numFmtId="10" fontId="7" fillId="0" borderId="2" xfId="0" applyNumberFormat="1" applyFont="1" applyFill="1" applyBorder="1" applyAlignment="1" applyProtection="1">
      <alignment horizontal="left" vertical="center"/>
    </xf>
    <xf numFmtId="178" fontId="7" fillId="8" borderId="2" xfId="0" applyNumberFormat="1" applyFont="1" applyFill="1" applyBorder="1" applyAlignment="1" applyProtection="1">
      <alignment horizontal="left" vertical="center"/>
    </xf>
    <xf numFmtId="178" fontId="7" fillId="7" borderId="2" xfId="0" applyNumberFormat="1" applyFont="1" applyFill="1" applyBorder="1" applyAlignment="1" applyProtection="1">
      <alignment horizontal="left" vertical="center"/>
    </xf>
    <xf numFmtId="178" fontId="4" fillId="0" borderId="0" xfId="0" applyNumberFormat="1" applyFont="1" applyFill="1" applyBorder="1" applyAlignment="1" applyProtection="1">
      <alignment vertical="top"/>
    </xf>
    <xf numFmtId="178" fontId="7" fillId="0" borderId="0" xfId="0" applyNumberFormat="1" applyFont="1" applyFill="1" applyBorder="1" applyAlignment="1" applyProtection="1">
      <alignment vertical="top"/>
    </xf>
    <xf numFmtId="176" fontId="7" fillId="0" borderId="2" xfId="0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Alignment="1" applyProtection="1">
      <alignment horizontal="right" vertical="top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8" xfId="0" applyNumberFormat="1" applyFont="1" applyFill="1" applyBorder="1" applyAlignment="1" applyProtection="1">
      <alignment horizontal="center" vertical="top"/>
    </xf>
    <xf numFmtId="176" fontId="7" fillId="0" borderId="2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indent="1"/>
    </xf>
    <xf numFmtId="0" fontId="4" fillId="0" borderId="9" xfId="0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left" vertical="center" indent="1"/>
    </xf>
    <xf numFmtId="176" fontId="7" fillId="0" borderId="2" xfId="0" applyNumberFormat="1" applyFont="1" applyFill="1" applyBorder="1" applyAlignment="1" applyProtection="1">
      <alignment vertical="center"/>
    </xf>
    <xf numFmtId="0" fontId="4" fillId="6" borderId="2" xfId="0" applyNumberFormat="1" applyFont="1" applyFill="1" applyBorder="1" applyAlignment="1" applyProtection="1">
      <alignment horizontal="left" vertical="center" indent="1"/>
    </xf>
    <xf numFmtId="176" fontId="7" fillId="4" borderId="2" xfId="0" applyNumberFormat="1" applyFont="1" applyFill="1" applyBorder="1" applyAlignment="1" applyProtection="1">
      <alignment vertical="center"/>
    </xf>
    <xf numFmtId="0" fontId="4" fillId="10" borderId="2" xfId="0" applyNumberFormat="1" applyFont="1" applyFill="1" applyBorder="1" applyAlignment="1" applyProtection="1">
      <alignment horizontal="left" vertical="center" indent="1"/>
    </xf>
    <xf numFmtId="9" fontId="0" fillId="0" borderId="0" xfId="0" applyNumberFormat="1" applyFont="1" applyFill="1" applyBorder="1" applyAlignment="1" applyProtection="1">
      <alignment vertical="center"/>
    </xf>
    <xf numFmtId="0" fontId="12" fillId="0" borderId="0" xfId="10" applyFont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>
      <alignment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2" xfId="0" applyFont="1" applyFill="1" applyBorder="1">
      <alignment vertical="center"/>
    </xf>
    <xf numFmtId="179" fontId="14" fillId="0" borderId="2" xfId="0" applyNumberFormat="1" applyFont="1" applyBorder="1">
      <alignment vertical="center"/>
    </xf>
    <xf numFmtId="0" fontId="15" fillId="12" borderId="2" xfId="0" applyFont="1" applyFill="1" applyBorder="1">
      <alignment vertical="center"/>
    </xf>
    <xf numFmtId="179" fontId="16" fillId="0" borderId="2" xfId="0" applyNumberFormat="1" applyFont="1" applyBorder="1">
      <alignment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right" vertical="center"/>
    </xf>
    <xf numFmtId="179" fontId="18" fillId="0" borderId="2" xfId="0" applyNumberFormat="1" applyFont="1" applyBorder="1">
      <alignment vertical="center"/>
    </xf>
    <xf numFmtId="0" fontId="19" fillId="13" borderId="2" xfId="0" applyFont="1" applyFill="1" applyBorder="1">
      <alignment vertical="center"/>
    </xf>
    <xf numFmtId="179" fontId="18" fillId="13" borderId="2" xfId="0" applyNumberFormat="1" applyFont="1" applyFill="1" applyBorder="1">
      <alignment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right" vertical="center"/>
    </xf>
    <xf numFmtId="179" fontId="14" fillId="0" borderId="2" xfId="0" applyNumberFormat="1" applyFont="1" applyFill="1" applyBorder="1">
      <alignment vertical="center"/>
    </xf>
    <xf numFmtId="0" fontId="21" fillId="0" borderId="0" xfId="0" applyFont="1" applyFill="1">
      <alignment vertical="center"/>
    </xf>
    <xf numFmtId="179" fontId="20" fillId="0" borderId="2" xfId="0" applyNumberFormat="1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1" fillId="0" borderId="0" xfId="10" applyFont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2" xfId="0" applyFont="1" applyFill="1" applyBorder="1">
      <alignment vertical="center"/>
    </xf>
    <xf numFmtId="176" fontId="14" fillId="0" borderId="2" xfId="0" applyNumberFormat="1" applyFont="1" applyBorder="1">
      <alignment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76" fontId="22" fillId="0" borderId="2" xfId="0" applyNumberFormat="1" applyFont="1" applyFill="1" applyBorder="1">
      <alignment vertical="center"/>
    </xf>
    <xf numFmtId="0" fontId="23" fillId="15" borderId="2" xfId="0" applyFont="1" applyFill="1" applyBorder="1" applyAlignment="1">
      <alignment horizontal="left" vertical="center"/>
    </xf>
    <xf numFmtId="0" fontId="24" fillId="15" borderId="2" xfId="0" applyFont="1" applyFill="1" applyBorder="1" applyAlignment="1">
      <alignment horizontal="right" vertical="center"/>
    </xf>
    <xf numFmtId="176" fontId="25" fillId="15" borderId="2" xfId="0" applyNumberFormat="1" applyFont="1" applyFill="1" applyBorder="1">
      <alignment vertical="center"/>
    </xf>
    <xf numFmtId="0" fontId="26" fillId="0" borderId="2" xfId="0" applyFont="1" applyBorder="1">
      <alignment vertical="center"/>
    </xf>
    <xf numFmtId="0" fontId="2" fillId="14" borderId="2" xfId="0" applyFont="1" applyFill="1" applyBorder="1" applyAlignment="1">
      <alignment horizontal="left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left" vertical="center"/>
    </xf>
    <xf numFmtId="0" fontId="2" fillId="7" borderId="2" xfId="0" applyFont="1" applyFill="1" applyBorder="1">
      <alignment vertical="center"/>
    </xf>
    <xf numFmtId="0" fontId="0" fillId="17" borderId="2" xfId="0" applyFill="1" applyBorder="1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27" fillId="0" borderId="0" xfId="1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6" fontId="14" fillId="18" borderId="2" xfId="0" applyNumberFormat="1" applyFont="1" applyFill="1" applyBorder="1" applyAlignment="1">
      <alignment vertical="center"/>
    </xf>
    <xf numFmtId="176" fontId="29" fillId="5" borderId="2" xfId="0" applyNumberFormat="1" applyFont="1" applyFill="1" applyBorder="1" applyAlignment="1">
      <alignment vertical="center"/>
    </xf>
    <xf numFmtId="176" fontId="14" fillId="0" borderId="2" xfId="0" applyNumberFormat="1" applyFont="1" applyBorder="1" applyAlignment="1">
      <alignment vertical="center"/>
    </xf>
    <xf numFmtId="0" fontId="0" fillId="15" borderId="3" xfId="0" applyFill="1" applyBorder="1" applyAlignment="1">
      <alignment horizontal="center" vertical="center"/>
    </xf>
    <xf numFmtId="0" fontId="0" fillId="15" borderId="2" xfId="0" applyFill="1" applyBorder="1">
      <alignment vertical="center"/>
    </xf>
    <xf numFmtId="176" fontId="14" fillId="15" borderId="2" xfId="0" applyNumberFormat="1" applyFont="1" applyFill="1" applyBorder="1" applyAlignment="1">
      <alignment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8" borderId="12" xfId="0" applyFont="1" applyFill="1" applyBorder="1" applyAlignment="1">
      <alignment horizontal="center" vertical="center"/>
    </xf>
    <xf numFmtId="0" fontId="0" fillId="19" borderId="11" xfId="0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/>
    </xf>
    <xf numFmtId="0" fontId="0" fillId="19" borderId="15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31" fillId="15" borderId="2" xfId="0" applyNumberFormat="1" applyFont="1" applyFill="1" applyBorder="1" applyAlignment="1">
      <alignment vertical="center"/>
    </xf>
    <xf numFmtId="0" fontId="0" fillId="19" borderId="13" xfId="0" applyFill="1" applyBorder="1" applyAlignment="1">
      <alignment horizontal="center" vertical="center" wrapText="1"/>
    </xf>
    <xf numFmtId="176" fontId="31" fillId="0" borderId="2" xfId="0" applyNumberFormat="1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vertical="center"/>
    </xf>
    <xf numFmtId="0" fontId="0" fillId="7" borderId="5" xfId="0" applyFill="1" applyBorder="1" applyAlignment="1">
      <alignment horizontal="center" vertical="center" wrapText="1"/>
    </xf>
    <xf numFmtId="0" fontId="0" fillId="20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32" fillId="21" borderId="0" xfId="0" applyFont="1" applyFill="1">
      <alignment vertical="center"/>
    </xf>
    <xf numFmtId="0" fontId="0" fillId="21" borderId="0" xfId="0" applyFill="1">
      <alignment vertical="center"/>
    </xf>
    <xf numFmtId="0" fontId="0" fillId="12" borderId="2" xfId="0" applyFill="1" applyBorder="1">
      <alignment vertical="center"/>
    </xf>
    <xf numFmtId="176" fontId="14" fillId="7" borderId="2" xfId="0" applyNumberFormat="1" applyFont="1" applyFill="1" applyBorder="1">
      <alignment vertical="center"/>
    </xf>
    <xf numFmtId="0" fontId="33" fillId="0" borderId="3" xfId="0" applyFont="1" applyBorder="1" applyAlignment="1">
      <alignment horizontal="center" vertical="center"/>
    </xf>
    <xf numFmtId="0" fontId="34" fillId="0" borderId="2" xfId="0" applyFont="1" applyFill="1" applyBorder="1">
      <alignment vertical="center"/>
    </xf>
    <xf numFmtId="176" fontId="35" fillId="0" borderId="2" xfId="0" applyNumberFormat="1" applyFont="1" applyBorder="1">
      <alignment vertical="center"/>
    </xf>
    <xf numFmtId="176" fontId="35" fillId="0" borderId="2" xfId="0" applyNumberFormat="1" applyFont="1" applyFill="1" applyBorder="1">
      <alignment vertical="center"/>
    </xf>
    <xf numFmtId="0" fontId="34" fillId="0" borderId="4" xfId="0" applyFont="1" applyBorder="1" applyAlignment="1">
      <alignment horizontal="center" vertical="center"/>
    </xf>
    <xf numFmtId="176" fontId="35" fillId="7" borderId="2" xfId="0" applyNumberFormat="1" applyFont="1" applyFill="1" applyBorder="1">
      <alignment vertical="center"/>
    </xf>
    <xf numFmtId="0" fontId="34" fillId="0" borderId="3" xfId="0" applyFont="1" applyFill="1" applyBorder="1">
      <alignment vertical="center"/>
    </xf>
    <xf numFmtId="176" fontId="35" fillId="0" borderId="3" xfId="0" applyNumberFormat="1" applyFont="1" applyBorder="1">
      <alignment vertical="center"/>
    </xf>
    <xf numFmtId="0" fontId="2" fillId="0" borderId="2" xfId="0" applyFont="1" applyFill="1" applyBorder="1">
      <alignment vertical="center"/>
    </xf>
    <xf numFmtId="176" fontId="31" fillId="0" borderId="2" xfId="0" applyNumberFormat="1" applyFont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6" fillId="14" borderId="15" xfId="0" applyFont="1" applyFill="1" applyBorder="1" applyAlignment="1">
      <alignment horizontal="center" vertical="center" wrapText="1"/>
    </xf>
    <xf numFmtId="0" fontId="36" fillId="14" borderId="0" xfId="0" applyFont="1" applyFill="1" applyBorder="1" applyAlignment="1">
      <alignment horizontal="center" vertical="center" wrapText="1"/>
    </xf>
    <xf numFmtId="0" fontId="37" fillId="0" borderId="0" xfId="10" applyFont="1" applyAlignment="1">
      <alignment horizontal="center" vertical="center"/>
    </xf>
    <xf numFmtId="0" fontId="37" fillId="0" borderId="1" xfId="10" applyFont="1" applyBorder="1" applyAlignment="1">
      <alignment horizontal="center" vertical="center"/>
    </xf>
    <xf numFmtId="0" fontId="38" fillId="13" borderId="15" xfId="0" applyFont="1" applyFill="1" applyBorder="1" applyAlignment="1">
      <alignment horizontal="left" vertical="center" wrapText="1"/>
    </xf>
    <xf numFmtId="0" fontId="38" fillId="13" borderId="0" xfId="0" applyFont="1" applyFill="1" applyBorder="1" applyAlignment="1">
      <alignment horizontal="left" vertical="center" wrapText="1"/>
    </xf>
    <xf numFmtId="0" fontId="38" fillId="13" borderId="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14" fillId="13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76" fontId="14" fillId="13" borderId="2" xfId="0" applyNumberFormat="1" applyFont="1" applyFill="1" applyBorder="1" applyAlignment="1">
      <alignment horizontal="left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" fontId="0" fillId="0" borderId="2" xfId="0" applyNumberFormat="1" applyBorder="1">
      <alignment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9" fontId="0" fillId="0" borderId="2" xfId="0" applyNumberFormat="1" applyBorder="1">
      <alignment vertical="center"/>
    </xf>
    <xf numFmtId="0" fontId="0" fillId="13" borderId="6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23" borderId="6" xfId="0" applyFill="1" applyBorder="1" applyAlignment="1">
      <alignment horizontal="center" vertical="center"/>
    </xf>
    <xf numFmtId="0" fontId="0" fillId="23" borderId="8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3" xfId="0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vertical="center"/>
    </xf>
    <xf numFmtId="1" fontId="26" fillId="0" borderId="2" xfId="0" applyNumberFormat="1" applyFont="1" applyBorder="1">
      <alignment vertical="center"/>
    </xf>
    <xf numFmtId="179" fontId="29" fillId="0" borderId="2" xfId="0" applyNumberFormat="1" applyFont="1" applyBorder="1">
      <alignment vertical="center"/>
    </xf>
    <xf numFmtId="0" fontId="26" fillId="12" borderId="4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12" borderId="5" xfId="0" applyFont="1" applyFill="1" applyBorder="1" applyAlignment="1">
      <alignment horizontal="center" vertical="center"/>
    </xf>
    <xf numFmtId="9" fontId="26" fillId="0" borderId="2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/>
    </xf>
    <xf numFmtId="0" fontId="26" fillId="24" borderId="3" xfId="0" applyFont="1" applyFill="1" applyBorder="1" applyAlignment="1">
      <alignment horizontal="center" vertical="center" wrapText="1"/>
    </xf>
    <xf numFmtId="0" fontId="26" fillId="24" borderId="2" xfId="0" applyFont="1" applyFill="1" applyBorder="1">
      <alignment vertical="center"/>
    </xf>
    <xf numFmtId="176" fontId="29" fillId="0" borderId="2" xfId="0" applyNumberFormat="1" applyFont="1" applyBorder="1">
      <alignment vertical="center"/>
    </xf>
    <xf numFmtId="0" fontId="26" fillId="24" borderId="4" xfId="0" applyFont="1" applyFill="1" applyBorder="1" applyAlignment="1">
      <alignment horizontal="center" vertical="center"/>
    </xf>
    <xf numFmtId="0" fontId="26" fillId="24" borderId="2" xfId="0" applyFont="1" applyFill="1" applyBorder="1" applyAlignment="1">
      <alignment horizontal="right" vertical="center"/>
    </xf>
    <xf numFmtId="0" fontId="26" fillId="24" borderId="3" xfId="0" applyFont="1" applyFill="1" applyBorder="1" applyAlignment="1">
      <alignment horizontal="right" vertical="center"/>
    </xf>
    <xf numFmtId="0" fontId="26" fillId="0" borderId="3" xfId="0" applyFont="1" applyBorder="1">
      <alignment vertical="center"/>
    </xf>
    <xf numFmtId="176" fontId="0" fillId="0" borderId="2" xfId="0" applyNumberFormat="1" applyBorder="1">
      <alignment vertical="center"/>
    </xf>
    <xf numFmtId="0" fontId="0" fillId="6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0" fillId="0" borderId="0" xfId="0" applyFont="1">
      <alignment vertical="center"/>
    </xf>
    <xf numFmtId="0" fontId="0" fillId="0" borderId="0" xfId="0" applyAlignment="1">
      <alignment horizontal="left" vertical="center"/>
    </xf>
    <xf numFmtId="0" fontId="41" fillId="0" borderId="0" xfId="0" applyFont="1">
      <alignment vertical="center"/>
    </xf>
    <xf numFmtId="0" fontId="42" fillId="0" borderId="0" xfId="50" applyNumberFormat="1" applyFont="1" applyFill="1" applyBorder="1" applyAlignment="1" applyProtection="1">
      <alignment vertical="top"/>
    </xf>
    <xf numFmtId="179" fontId="42" fillId="0" borderId="0" xfId="50" applyNumberFormat="1" applyFont="1" applyFill="1" applyBorder="1" applyAlignment="1" applyProtection="1">
      <alignment vertical="top"/>
    </xf>
    <xf numFmtId="0" fontId="43" fillId="0" borderId="0" xfId="10" applyNumberFormat="1" applyFont="1" applyFill="1" applyBorder="1" applyAlignment="1" applyProtection="1">
      <alignment horizontal="center" vertical="top"/>
    </xf>
    <xf numFmtId="0" fontId="44" fillId="0" borderId="0" xfId="10" applyNumberFormat="1" applyFont="1" applyFill="1" applyBorder="1" applyAlignment="1" applyProtection="1">
      <alignment horizontal="center" vertical="top"/>
    </xf>
    <xf numFmtId="0" fontId="29" fillId="0" borderId="1" xfId="10" applyNumberFormat="1" applyFont="1" applyFill="1" applyBorder="1" applyAlignment="1" applyProtection="1">
      <alignment horizontal="left" vertical="top" wrapText="1"/>
    </xf>
    <xf numFmtId="0" fontId="45" fillId="0" borderId="1" xfId="10" applyNumberFormat="1" applyFont="1" applyFill="1" applyBorder="1" applyAlignment="1" applyProtection="1">
      <alignment horizontal="left" vertical="top" wrapText="1"/>
    </xf>
    <xf numFmtId="0" fontId="7" fillId="25" borderId="2" xfId="50" applyNumberFormat="1" applyFont="1" applyFill="1" applyBorder="1" applyAlignment="1" applyProtection="1">
      <alignment horizontal="center" vertical="center"/>
    </xf>
    <xf numFmtId="0" fontId="42" fillId="25" borderId="2" xfId="50" applyNumberFormat="1" applyFont="1" applyFill="1" applyBorder="1" applyAlignment="1" applyProtection="1">
      <alignment horizontal="center" vertical="center"/>
    </xf>
    <xf numFmtId="179" fontId="7" fillId="25" borderId="2" xfId="50" applyNumberFormat="1" applyFont="1" applyFill="1" applyBorder="1" applyAlignment="1" applyProtection="1">
      <alignment horizontal="center" vertical="center"/>
    </xf>
    <xf numFmtId="179" fontId="42" fillId="25" borderId="2" xfId="50" applyNumberFormat="1" applyFont="1" applyFill="1" applyBorder="1" applyAlignment="1" applyProtection="1">
      <alignment horizontal="center" vertical="center"/>
    </xf>
    <xf numFmtId="49" fontId="46" fillId="6" borderId="2" xfId="50" applyNumberFormat="1" applyFont="1" applyFill="1" applyBorder="1" applyAlignment="1" applyProtection="1">
      <alignment vertical="top"/>
    </xf>
    <xf numFmtId="0" fontId="47" fillId="6" borderId="2" xfId="50" applyNumberFormat="1" applyFont="1" applyFill="1" applyBorder="1" applyAlignment="1" applyProtection="1">
      <alignment vertical="top"/>
    </xf>
    <xf numFmtId="0" fontId="42" fillId="6" borderId="2" xfId="50" applyNumberFormat="1" applyFont="1" applyFill="1" applyBorder="1" applyAlignment="1" applyProtection="1">
      <alignment vertical="top"/>
    </xf>
    <xf numFmtId="179" fontId="46" fillId="0" borderId="2" xfId="50" applyNumberFormat="1" applyFont="1" applyFill="1" applyBorder="1" applyAlignment="1" applyProtection="1">
      <alignment vertical="top"/>
    </xf>
    <xf numFmtId="49" fontId="46" fillId="0" borderId="2" xfId="50" applyNumberFormat="1" applyFont="1" applyFill="1" applyBorder="1" applyAlignment="1" applyProtection="1">
      <alignment vertical="top"/>
    </xf>
    <xf numFmtId="0" fontId="47" fillId="0" borderId="2" xfId="50" applyNumberFormat="1" applyFont="1" applyFill="1" applyBorder="1" applyAlignment="1" applyProtection="1">
      <alignment vertical="top"/>
    </xf>
    <xf numFmtId="0" fontId="42" fillId="0" borderId="2" xfId="50" applyNumberFormat="1" applyFont="1" applyFill="1" applyBorder="1" applyAlignment="1" applyProtection="1">
      <alignment vertical="top"/>
    </xf>
    <xf numFmtId="0" fontId="47" fillId="0" borderId="2" xfId="50" applyNumberFormat="1" applyFont="1" applyFill="1" applyBorder="1" applyAlignment="1" applyProtection="1">
      <alignment horizontal="right" vertical="top"/>
    </xf>
    <xf numFmtId="9" fontId="42" fillId="0" borderId="2" xfId="50" applyNumberFormat="1" applyFont="1" applyFill="1" applyBorder="1" applyAlignment="1" applyProtection="1">
      <alignment vertical="top"/>
    </xf>
    <xf numFmtId="10" fontId="42" fillId="0" borderId="2" xfId="50" applyNumberFormat="1" applyFont="1" applyFill="1" applyBorder="1" applyAlignment="1" applyProtection="1">
      <alignment vertical="top"/>
    </xf>
    <xf numFmtId="49" fontId="42" fillId="0" borderId="2" xfId="50" applyNumberFormat="1" applyFont="1" applyFill="1" applyBorder="1" applyAlignment="1" applyProtection="1">
      <alignment vertical="top"/>
    </xf>
    <xf numFmtId="0" fontId="7" fillId="0" borderId="2" xfId="50" applyNumberFormat="1" applyFont="1" applyFill="1" applyBorder="1" applyAlignment="1" applyProtection="1">
      <alignment horizontal="right" vertical="top"/>
    </xf>
    <xf numFmtId="0" fontId="7" fillId="0" borderId="2" xfId="50" applyNumberFormat="1" applyFont="1" applyFill="1" applyBorder="1" applyAlignment="1" applyProtection="1">
      <alignment horizontal="left" vertical="top"/>
    </xf>
    <xf numFmtId="0" fontId="7" fillId="0" borderId="2" xfId="50" applyNumberFormat="1" applyFont="1" applyFill="1" applyBorder="1" applyAlignment="1" applyProtection="1">
      <alignment vertical="top"/>
    </xf>
    <xf numFmtId="0" fontId="46" fillId="0" borderId="2" xfId="50" applyNumberFormat="1" applyFont="1" applyFill="1" applyBorder="1" applyAlignment="1" applyProtection="1">
      <alignment vertical="top"/>
    </xf>
    <xf numFmtId="49" fontId="46" fillId="14" borderId="2" xfId="50" applyNumberFormat="1" applyFont="1" applyFill="1" applyBorder="1" applyAlignment="1" applyProtection="1">
      <alignment vertical="top"/>
    </xf>
    <xf numFmtId="0" fontId="47" fillId="14" borderId="2" xfId="50" applyNumberFormat="1" applyFont="1" applyFill="1" applyBorder="1" applyAlignment="1" applyProtection="1">
      <alignment vertical="top"/>
    </xf>
    <xf numFmtId="0" fontId="42" fillId="14" borderId="2" xfId="50" applyNumberFormat="1" applyFont="1" applyFill="1" applyBorder="1" applyAlignment="1" applyProtection="1">
      <alignment vertical="top"/>
    </xf>
    <xf numFmtId="0" fontId="42" fillId="0" borderId="6" xfId="50" applyNumberFormat="1" applyFont="1" applyFill="1" applyBorder="1" applyAlignment="1" applyProtection="1">
      <alignment vertical="top"/>
    </xf>
    <xf numFmtId="0" fontId="47" fillId="0" borderId="7" xfId="50" applyNumberFormat="1" applyFont="1" applyFill="1" applyBorder="1" applyAlignment="1" applyProtection="1">
      <alignment vertical="top"/>
    </xf>
    <xf numFmtId="0" fontId="46" fillId="0" borderId="7" xfId="50" applyNumberFormat="1" applyFont="1" applyFill="1" applyBorder="1" applyAlignment="1" applyProtection="1">
      <alignment vertical="top"/>
    </xf>
    <xf numFmtId="179" fontId="46" fillId="0" borderId="7" xfId="50" applyNumberFormat="1" applyFont="1" applyFill="1" applyBorder="1" applyAlignment="1" applyProtection="1">
      <alignment vertical="top"/>
    </xf>
    <xf numFmtId="0" fontId="4" fillId="15" borderId="6" xfId="50" applyNumberFormat="1" applyFont="1" applyFill="1" applyBorder="1" applyAlignment="1" applyProtection="1">
      <alignment horizontal="left" vertical="center"/>
    </xf>
    <xf numFmtId="0" fontId="4" fillId="15" borderId="7" xfId="50" applyNumberFormat="1" applyFont="1" applyFill="1" applyBorder="1" applyAlignment="1" applyProtection="1">
      <alignment horizontal="left" vertical="center"/>
    </xf>
    <xf numFmtId="179" fontId="42" fillId="6" borderId="2" xfId="50" applyNumberFormat="1" applyFont="1" applyFill="1" applyBorder="1" applyAlignment="1" applyProtection="1">
      <alignment vertical="top"/>
    </xf>
    <xf numFmtId="9" fontId="42" fillId="6" borderId="2" xfId="50" applyNumberFormat="1" applyFont="1" applyFill="1" applyBorder="1" applyAlignment="1" applyProtection="1">
      <alignment vertical="top"/>
    </xf>
    <xf numFmtId="179" fontId="42" fillId="0" borderId="2" xfId="50" applyNumberFormat="1" applyFont="1" applyFill="1" applyBorder="1" applyAlignment="1" applyProtection="1">
      <alignment vertical="top"/>
    </xf>
    <xf numFmtId="179" fontId="46" fillId="21" borderId="2" xfId="50" applyNumberFormat="1" applyFont="1" applyFill="1" applyBorder="1" applyAlignment="1" applyProtection="1">
      <alignment vertical="top"/>
    </xf>
    <xf numFmtId="179" fontId="7" fillId="0" borderId="2" xfId="50" applyNumberFormat="1" applyFont="1" applyFill="1" applyBorder="1" applyAlignment="1" applyProtection="1">
      <alignment vertical="top"/>
    </xf>
    <xf numFmtId="179" fontId="48" fillId="0" borderId="2" xfId="50" applyNumberFormat="1" applyFont="1" applyFill="1" applyBorder="1" applyAlignment="1" applyProtection="1">
      <alignment vertical="top"/>
    </xf>
    <xf numFmtId="179" fontId="42" fillId="14" borderId="2" xfId="50" applyNumberFormat="1" applyFont="1" applyFill="1" applyBorder="1" applyAlignment="1" applyProtection="1">
      <alignment vertical="top"/>
    </xf>
    <xf numFmtId="0" fontId="47" fillId="0" borderId="0" xfId="50" applyNumberFormat="1" applyFont="1" applyFill="1" applyBorder="1" applyAlignment="1" applyProtection="1">
      <alignment vertical="top"/>
    </xf>
    <xf numFmtId="0" fontId="46" fillId="0" borderId="0" xfId="50" applyNumberFormat="1" applyFont="1" applyFill="1" applyBorder="1" applyAlignment="1" applyProtection="1">
      <alignment vertical="top"/>
    </xf>
    <xf numFmtId="179" fontId="46" fillId="0" borderId="0" xfId="50" applyNumberFormat="1" applyFont="1" applyFill="1" applyBorder="1" applyAlignment="1" applyProtection="1">
      <alignment vertical="top"/>
    </xf>
    <xf numFmtId="0" fontId="49" fillId="0" borderId="0" xfId="10" applyNumberFormat="1" applyFont="1" applyFill="1" applyBorder="1" applyAlignment="1" applyProtection="1">
      <alignment horizontal="left" vertical="top"/>
    </xf>
    <xf numFmtId="0" fontId="50" fillId="12" borderId="0" xfId="10" applyNumberFormat="1" applyFont="1" applyFill="1" applyBorder="1" applyAlignment="1" applyProtection="1">
      <alignment horizontal="left" vertical="top"/>
    </xf>
    <xf numFmtId="0" fontId="51" fillId="12" borderId="0" xfId="10" applyNumberFormat="1" applyFont="1" applyFill="1" applyBorder="1" applyAlignment="1" applyProtection="1">
      <alignment horizontal="center" vertical="top"/>
    </xf>
    <xf numFmtId="0" fontId="52" fillId="12" borderId="0" xfId="10" applyNumberFormat="1" applyFont="1" applyFill="1" applyBorder="1" applyAlignment="1" applyProtection="1">
      <alignment horizontal="left" vertical="top"/>
    </xf>
    <xf numFmtId="179" fontId="46" fillId="0" borderId="8" xfId="50" applyNumberFormat="1" applyFont="1" applyFill="1" applyBorder="1" applyAlignment="1" applyProtection="1">
      <alignment vertical="top"/>
    </xf>
    <xf numFmtId="0" fontId="4" fillId="15" borderId="8" xfId="50" applyNumberFormat="1" applyFont="1" applyFill="1" applyBorder="1" applyAlignment="1" applyProtection="1">
      <alignment horizontal="left" vertical="center"/>
    </xf>
    <xf numFmtId="0" fontId="4" fillId="26" borderId="6" xfId="50" applyNumberFormat="1" applyFont="1" applyFill="1" applyBorder="1" applyAlignment="1" applyProtection="1">
      <alignment horizontal="left" vertical="center"/>
    </xf>
    <xf numFmtId="0" fontId="4" fillId="26" borderId="7" xfId="50" applyNumberFormat="1" applyFont="1" applyFill="1" applyBorder="1" applyAlignment="1" applyProtection="1">
      <alignment horizontal="left" vertical="center"/>
    </xf>
    <xf numFmtId="179" fontId="42" fillId="0" borderId="0" xfId="50" applyNumberFormat="1" applyFont="1" applyFill="1" applyBorder="1" applyAlignment="1" applyProtection="1">
      <alignment horizontal="center" vertical="center"/>
    </xf>
    <xf numFmtId="179" fontId="42" fillId="21" borderId="2" xfId="50" applyNumberFormat="1" applyFont="1" applyFill="1" applyBorder="1" applyAlignment="1" applyProtection="1">
      <alignment vertical="top"/>
    </xf>
    <xf numFmtId="0" fontId="4" fillId="26" borderId="8" xfId="50" applyNumberFormat="1" applyFont="1" applyFill="1" applyBorder="1" applyAlignment="1" applyProtection="1">
      <alignment horizontal="left" vertical="center"/>
    </xf>
    <xf numFmtId="179" fontId="42" fillId="26" borderId="2" xfId="5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4" fillId="0" borderId="0" xfId="1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5" fillId="0" borderId="2" xfId="0" applyNumberFormat="1" applyFont="1" applyFill="1" applyBorder="1" applyAlignment="1" applyProtection="1">
      <alignment horizontal="center" vertical="center"/>
    </xf>
    <xf numFmtId="0" fontId="55" fillId="0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55" fillId="0" borderId="2" xfId="0" applyNumberFormat="1" applyFont="1" applyFill="1" applyBorder="1" applyAlignment="1" applyProtection="1">
      <alignment horizontal="center" vertical="top"/>
    </xf>
    <xf numFmtId="0" fontId="56" fillId="0" borderId="2" xfId="0" applyNumberFormat="1" applyFont="1" applyFill="1" applyBorder="1" applyAlignment="1" applyProtection="1">
      <alignment horizontal="center" vertical="center"/>
    </xf>
    <xf numFmtId="0" fontId="57" fillId="0" borderId="2" xfId="0" applyNumberFormat="1" applyFont="1" applyFill="1" applyBorder="1" applyAlignment="1" applyProtection="1">
      <alignment horizontal="center" vertical="center"/>
    </xf>
    <xf numFmtId="9" fontId="57" fillId="0" borderId="2" xfId="0" applyNumberFormat="1" applyFont="1" applyFill="1" applyBorder="1" applyAlignment="1" applyProtection="1">
      <alignment horizontal="center" vertical="center"/>
    </xf>
    <xf numFmtId="0" fontId="6" fillId="16" borderId="2" xfId="0" applyNumberFormat="1" applyFont="1" applyFill="1" applyBorder="1" applyAlignment="1" applyProtection="1">
      <alignment horizontal="left" vertical="top"/>
    </xf>
    <xf numFmtId="0" fontId="58" fillId="0" borderId="2" xfId="0" applyNumberFormat="1" applyFont="1" applyFill="1" applyBorder="1" applyAlignment="1" applyProtection="1">
      <alignment horizontal="center" vertical="top"/>
    </xf>
    <xf numFmtId="0" fontId="57" fillId="0" borderId="2" xfId="0" applyNumberFormat="1" applyFont="1" applyFill="1" applyBorder="1" applyAlignment="1" applyProtection="1">
      <alignment horizontal="center" vertical="top"/>
    </xf>
    <xf numFmtId="176" fontId="57" fillId="0" borderId="2" xfId="0" applyNumberFormat="1" applyFont="1" applyFill="1" applyBorder="1" applyAlignment="1" applyProtection="1">
      <alignment horizontal="right" vertical="top"/>
    </xf>
    <xf numFmtId="0" fontId="4" fillId="6" borderId="2" xfId="0" applyNumberFormat="1" applyFont="1" applyFill="1" applyBorder="1" applyAlignment="1" applyProtection="1">
      <alignment horizontal="left" vertical="top"/>
    </xf>
    <xf numFmtId="0" fontId="59" fillId="0" borderId="2" xfId="0" applyNumberFormat="1" applyFont="1" applyFill="1" applyBorder="1" applyAlignment="1" applyProtection="1">
      <alignment horizontal="center" vertical="top"/>
    </xf>
    <xf numFmtId="0" fontId="6" fillId="7" borderId="2" xfId="0" applyNumberFormat="1" applyFont="1" applyFill="1" applyBorder="1" applyAlignment="1" applyProtection="1">
      <alignment horizontal="left" vertical="top"/>
    </xf>
    <xf numFmtId="0" fontId="58" fillId="0" borderId="2" xfId="0" applyNumberFormat="1" applyFont="1" applyFill="1" applyBorder="1" applyAlignment="1" applyProtection="1">
      <alignment horizontal="left" vertical="top"/>
    </xf>
    <xf numFmtId="176" fontId="58" fillId="0" borderId="2" xfId="0" applyNumberFormat="1" applyFont="1" applyFill="1" applyBorder="1" applyAlignment="1" applyProtection="1">
      <alignment horizontal="right" vertical="top"/>
    </xf>
    <xf numFmtId="0" fontId="60" fillId="0" borderId="0" xfId="0" applyNumberFormat="1" applyFont="1" applyFill="1" applyBorder="1" applyAlignment="1" applyProtection="1">
      <alignment horizontal="left" vertical="top"/>
    </xf>
    <xf numFmtId="0" fontId="60" fillId="0" borderId="0" xfId="0" applyNumberFormat="1" applyFont="1" applyFill="1" applyBorder="1" applyAlignment="1" applyProtection="1">
      <alignment horizontal="center" vertical="top"/>
    </xf>
    <xf numFmtId="176" fontId="61" fillId="0" borderId="0" xfId="0" applyNumberFormat="1" applyFont="1" applyFill="1" applyBorder="1" applyAlignment="1" applyProtection="1">
      <alignment horizontal="right" vertical="top"/>
    </xf>
    <xf numFmtId="176" fontId="62" fillId="0" borderId="0" xfId="0" applyNumberFormat="1" applyFont="1" applyFill="1" applyBorder="1" applyAlignment="1" applyProtection="1">
      <alignment horizontal="right" vertical="top"/>
    </xf>
    <xf numFmtId="176" fontId="53" fillId="0" borderId="0" xfId="0" applyNumberFormat="1" applyFont="1" applyFill="1" applyBorder="1" applyAlignment="1" applyProtection="1">
      <alignment horizontal="right" vertical="top"/>
    </xf>
    <xf numFmtId="0" fontId="0" fillId="8" borderId="2" xfId="0" applyFill="1" applyBorder="1">
      <alignment vertical="center"/>
    </xf>
    <xf numFmtId="0" fontId="0" fillId="13" borderId="2" xfId="0" applyFill="1" applyBorder="1">
      <alignment vertical="center"/>
    </xf>
    <xf numFmtId="179" fontId="14" fillId="13" borderId="2" xfId="0" applyNumberFormat="1" applyFont="1" applyFill="1" applyBorder="1">
      <alignment vertical="center"/>
    </xf>
    <xf numFmtId="9" fontId="14" fillId="13" borderId="2" xfId="0" applyNumberFormat="1" applyFont="1" applyFill="1" applyBorder="1">
      <alignment vertical="center"/>
    </xf>
    <xf numFmtId="0" fontId="0" fillId="9" borderId="2" xfId="0" applyFill="1" applyBorder="1">
      <alignment vertical="center"/>
    </xf>
    <xf numFmtId="179" fontId="14" fillId="9" borderId="2" xfId="0" applyNumberFormat="1" applyFont="1" applyFill="1" applyBorder="1">
      <alignment vertical="center"/>
    </xf>
    <xf numFmtId="176" fontId="14" fillId="9" borderId="2" xfId="0" applyNumberFormat="1" applyFont="1" applyFill="1" applyBorder="1">
      <alignment vertical="center"/>
    </xf>
    <xf numFmtId="0" fontId="63" fillId="18" borderId="2" xfId="0" applyFont="1" applyFill="1" applyBorder="1">
      <alignment vertical="center"/>
    </xf>
    <xf numFmtId="0" fontId="63" fillId="2" borderId="2" xfId="0" applyFont="1" applyFill="1" applyBorder="1">
      <alignment vertical="center"/>
    </xf>
    <xf numFmtId="179" fontId="16" fillId="13" borderId="2" xfId="0" applyNumberFormat="1" applyFont="1" applyFill="1" applyBorder="1">
      <alignment vertical="center"/>
    </xf>
    <xf numFmtId="179" fontId="1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179" fontId="14" fillId="21" borderId="2" xfId="0" applyNumberFormat="1" applyFont="1" applyFill="1" applyBorder="1" applyAlignment="1">
      <alignment horizontal="left" vertical="center"/>
    </xf>
    <xf numFmtId="10" fontId="14" fillId="0" borderId="2" xfId="0" applyNumberFormat="1" applyFont="1" applyBorder="1" applyAlignment="1">
      <alignment horizontal="left" vertical="center"/>
    </xf>
    <xf numFmtId="0" fontId="0" fillId="18" borderId="2" xfId="0" applyFill="1" applyBorder="1">
      <alignment vertical="center"/>
    </xf>
    <xf numFmtId="179" fontId="14" fillId="6" borderId="2" xfId="0" applyNumberFormat="1" applyFont="1" applyFill="1" applyBorder="1">
      <alignment vertical="center"/>
    </xf>
    <xf numFmtId="179" fontId="14" fillId="8" borderId="2" xfId="0" applyNumberFormat="1" applyFont="1" applyFill="1" applyBorder="1">
      <alignment vertical="center"/>
    </xf>
    <xf numFmtId="179" fontId="64" fillId="7" borderId="2" xfId="0" applyNumberFormat="1" applyFont="1" applyFill="1" applyBorder="1">
      <alignment vertical="center"/>
    </xf>
    <xf numFmtId="179" fontId="22" fillId="8" borderId="2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4" borderId="2" xfId="0" applyFill="1" applyBorder="1" applyAlignment="1">
      <alignment horizontal="center" vertical="center"/>
    </xf>
    <xf numFmtId="0" fontId="0" fillId="24" borderId="8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7" borderId="2" xfId="0" applyFont="1" applyFill="1" applyBorder="1" applyAlignment="1">
      <alignment horizontal="right" vertical="center"/>
    </xf>
    <xf numFmtId="9" fontId="29" fillId="0" borderId="2" xfId="0" applyNumberFormat="1" applyFont="1" applyBorder="1" applyAlignment="1">
      <alignment horizontal="center" vertical="center"/>
    </xf>
    <xf numFmtId="0" fontId="29" fillId="7" borderId="2" xfId="0" applyFont="1" applyFill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1" fillId="7" borderId="2" xfId="0" applyFont="1" applyFill="1" applyBorder="1">
      <alignment vertical="center"/>
    </xf>
    <xf numFmtId="0" fontId="29" fillId="0" borderId="2" xfId="0" applyFont="1" applyFill="1" applyBorder="1" applyAlignment="1">
      <alignment horizontal="center" vertical="center"/>
    </xf>
    <xf numFmtId="0" fontId="31" fillId="6" borderId="2" xfId="0" applyFont="1" applyFill="1" applyBorder="1">
      <alignment vertical="center"/>
    </xf>
    <xf numFmtId="0" fontId="31" fillId="8" borderId="2" xfId="0" applyFont="1" applyFill="1" applyBorder="1">
      <alignment vertical="center"/>
    </xf>
    <xf numFmtId="0" fontId="65" fillId="27" borderId="2" xfId="0" applyFont="1" applyFill="1" applyBorder="1">
      <alignment vertical="center"/>
    </xf>
    <xf numFmtId="0" fontId="0" fillId="6" borderId="2" xfId="0" applyFill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 wrapText="1"/>
    </xf>
    <xf numFmtId="0" fontId="3" fillId="24" borderId="15" xfId="10" applyFill="1" applyBorder="1" applyAlignment="1">
      <alignment horizontal="center" vertical="center"/>
    </xf>
    <xf numFmtId="178" fontId="29" fillId="6" borderId="2" xfId="0" applyNumberFormat="1" applyFont="1" applyFill="1" applyBorder="1" applyAlignment="1">
      <alignment horizontal="right" vertical="center"/>
    </xf>
    <xf numFmtId="0" fontId="29" fillId="0" borderId="3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78" fontId="31" fillId="6" borderId="2" xfId="0" applyNumberFormat="1" applyFont="1" applyFill="1" applyBorder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66" fillId="0" borderId="2" xfId="0" applyFont="1" applyBorder="1">
      <alignment vertical="center"/>
    </xf>
    <xf numFmtId="178" fontId="65" fillId="27" borderId="2" xfId="0" applyNumberFormat="1" applyFont="1" applyFill="1" applyBorder="1">
      <alignment vertical="center"/>
    </xf>
    <xf numFmtId="0" fontId="67" fillId="0" borderId="0" xfId="10" applyFont="1" applyAlignment="1">
      <alignment horizontal="center" vertical="center"/>
    </xf>
    <xf numFmtId="0" fontId="0" fillId="15" borderId="0" xfId="0" applyFill="1">
      <alignment vertical="center"/>
    </xf>
    <xf numFmtId="0" fontId="2" fillId="8" borderId="2" xfId="0" applyFont="1" applyFill="1" applyBorder="1">
      <alignment vertical="center"/>
    </xf>
    <xf numFmtId="0" fontId="2" fillId="8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6" fillId="0" borderId="2" xfId="0" applyFont="1" applyFill="1" applyBorder="1">
      <alignment vertical="center"/>
    </xf>
    <xf numFmtId="178" fontId="26" fillId="0" borderId="2" xfId="0" applyNumberFormat="1" applyFont="1" applyFill="1" applyBorder="1">
      <alignment vertical="center"/>
    </xf>
    <xf numFmtId="49" fontId="0" fillId="6" borderId="2" xfId="0" applyNumberFormat="1" applyFill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29" fillId="0" borderId="2" xfId="0" applyFont="1" applyFill="1" applyBorder="1">
      <alignment vertical="center"/>
    </xf>
    <xf numFmtId="178" fontId="29" fillId="0" borderId="2" xfId="0" applyNumberFormat="1" applyFont="1" applyFill="1" applyBorder="1">
      <alignment vertical="center"/>
    </xf>
    <xf numFmtId="9" fontId="29" fillId="0" borderId="2" xfId="0" applyNumberFormat="1" applyFont="1" applyFill="1" applyBorder="1" applyAlignment="1">
      <alignment horizontal="center" vertical="center"/>
    </xf>
    <xf numFmtId="176" fontId="29" fillId="0" borderId="2" xfId="0" applyNumberFormat="1" applyFont="1" applyFill="1" applyBorder="1">
      <alignment vertical="center"/>
    </xf>
    <xf numFmtId="9" fontId="29" fillId="7" borderId="2" xfId="0" applyNumberFormat="1" applyFont="1" applyFill="1" applyBorder="1">
      <alignment vertical="center"/>
    </xf>
    <xf numFmtId="0" fontId="29" fillId="7" borderId="2" xfId="0" applyFont="1" applyFill="1" applyBorder="1" applyAlignment="1">
      <alignment horizontal="center" vertical="center"/>
    </xf>
    <xf numFmtId="178" fontId="29" fillId="7" borderId="2" xfId="0" applyNumberFormat="1" applyFont="1" applyFill="1" applyBorder="1">
      <alignment vertical="center"/>
    </xf>
    <xf numFmtId="10" fontId="29" fillId="0" borderId="2" xfId="0" applyNumberFormat="1" applyFont="1" applyFill="1" applyBorder="1">
      <alignment vertical="center"/>
    </xf>
    <xf numFmtId="0" fontId="31" fillId="0" borderId="2" xfId="0" applyFont="1" applyFill="1" applyBorder="1">
      <alignment vertical="center"/>
    </xf>
    <xf numFmtId="178" fontId="31" fillId="0" borderId="2" xfId="0" applyNumberFormat="1" applyFont="1" applyFill="1" applyBorder="1">
      <alignment vertical="center"/>
    </xf>
    <xf numFmtId="0" fontId="14" fillId="0" borderId="2" xfId="0" applyFont="1" applyBorder="1">
      <alignment vertical="center"/>
    </xf>
    <xf numFmtId="178" fontId="29" fillId="0" borderId="2" xfId="0" applyNumberFormat="1" applyFont="1" applyBorder="1">
      <alignment vertical="center"/>
    </xf>
    <xf numFmtId="180" fontId="29" fillId="0" borderId="2" xfId="0" applyNumberFormat="1" applyFont="1" applyBorder="1">
      <alignment vertical="center"/>
    </xf>
    <xf numFmtId="0" fontId="31" fillId="6" borderId="2" xfId="0" applyFont="1" applyFill="1" applyBorder="1" applyAlignment="1">
      <alignment horizontal="center" vertical="center" wrapText="1"/>
    </xf>
    <xf numFmtId="0" fontId="26" fillId="8" borderId="4" xfId="0" applyFont="1" applyFill="1" applyBorder="1">
      <alignment vertical="center"/>
    </xf>
    <xf numFmtId="0" fontId="2" fillId="8" borderId="4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9" fontId="31" fillId="0" borderId="4" xfId="0" applyNumberFormat="1" applyFont="1" applyFill="1" applyBorder="1">
      <alignment vertical="center"/>
    </xf>
    <xf numFmtId="179" fontId="26" fillId="0" borderId="2" xfId="0" applyNumberFormat="1" applyFont="1" applyFill="1" applyBorder="1">
      <alignment vertical="center"/>
    </xf>
    <xf numFmtId="179" fontId="41" fillId="0" borderId="2" xfId="0" applyNumberFormat="1" applyFont="1" applyFill="1" applyBorder="1">
      <alignment vertical="center"/>
    </xf>
    <xf numFmtId="179" fontId="29" fillId="0" borderId="2" xfId="0" applyNumberFormat="1" applyFont="1" applyFill="1" applyBorder="1">
      <alignment vertical="center"/>
    </xf>
    <xf numFmtId="176" fontId="26" fillId="0" borderId="2" xfId="0" applyNumberFormat="1" applyFont="1" applyFill="1" applyBorder="1">
      <alignment vertical="center"/>
    </xf>
    <xf numFmtId="179" fontId="0" fillId="0" borderId="2" xfId="0" applyNumberFormat="1" applyBorder="1">
      <alignment vertical="center"/>
    </xf>
    <xf numFmtId="0" fontId="26" fillId="0" borderId="2" xfId="0" applyFont="1" applyFill="1" applyBorder="1" applyAlignment="1">
      <alignment horizontal="center" vertical="center"/>
    </xf>
    <xf numFmtId="9" fontId="26" fillId="0" borderId="2" xfId="0" applyNumberFormat="1" applyFont="1" applyFill="1" applyBorder="1" applyAlignment="1">
      <alignment horizontal="center" vertical="center"/>
    </xf>
    <xf numFmtId="179" fontId="29" fillId="0" borderId="2" xfId="0" applyNumberFormat="1" applyFont="1" applyFill="1" applyBorder="1" applyAlignment="1">
      <alignment horizontal="right" vertical="center"/>
    </xf>
    <xf numFmtId="179" fontId="31" fillId="0" borderId="2" xfId="0" applyNumberFormat="1" applyFont="1" applyFill="1" applyBorder="1" applyAlignment="1">
      <alignment horizontal="right" vertical="center"/>
    </xf>
    <xf numFmtId="0" fontId="0" fillId="8" borderId="0" xfId="0" applyFill="1">
      <alignment vertical="center"/>
    </xf>
    <xf numFmtId="0" fontId="3" fillId="0" borderId="11" xfId="10" applyFill="1" applyBorder="1" applyAlignment="1">
      <alignment horizontal="center" vertical="center"/>
    </xf>
    <xf numFmtId="0" fontId="3" fillId="0" borderId="10" xfId="10" applyFill="1" applyBorder="1" applyAlignment="1">
      <alignment horizontal="center" vertical="center"/>
    </xf>
    <xf numFmtId="0" fontId="3" fillId="0" borderId="12" xfId="10" applyFill="1" applyBorder="1" applyAlignment="1">
      <alignment horizontal="center" vertical="center"/>
    </xf>
    <xf numFmtId="0" fontId="3" fillId="0" borderId="11" xfId="10" applyFill="1" applyBorder="1" applyAlignment="1">
      <alignment horizontal="center" vertical="center" wrapText="1"/>
    </xf>
    <xf numFmtId="0" fontId="3" fillId="0" borderId="10" xfId="10" applyFill="1" applyBorder="1" applyAlignment="1">
      <alignment horizontal="center" vertical="center" wrapText="1"/>
    </xf>
    <xf numFmtId="0" fontId="3" fillId="0" borderId="15" xfId="10" applyFill="1" applyBorder="1" applyAlignment="1">
      <alignment horizontal="center" vertical="center"/>
    </xf>
    <xf numFmtId="0" fontId="3" fillId="0" borderId="0" xfId="10" applyFill="1" applyBorder="1" applyAlignment="1">
      <alignment horizontal="center" vertical="center"/>
    </xf>
    <xf numFmtId="0" fontId="3" fillId="0" borderId="14" xfId="10" applyFill="1" applyBorder="1" applyAlignment="1">
      <alignment horizontal="center" vertical="center"/>
    </xf>
    <xf numFmtId="0" fontId="3" fillId="0" borderId="15" xfId="10" applyFill="1" applyBorder="1" applyAlignment="1">
      <alignment horizontal="center" vertical="center" wrapText="1"/>
    </xf>
    <xf numFmtId="0" fontId="3" fillId="0" borderId="0" xfId="10" applyFill="1" applyBorder="1" applyAlignment="1">
      <alignment horizontal="center" vertical="center" wrapText="1"/>
    </xf>
    <xf numFmtId="0" fontId="7" fillId="0" borderId="11" xfId="35" applyFont="1" applyFill="1" applyBorder="1" applyAlignment="1">
      <alignment horizontal="left" vertical="center"/>
    </xf>
    <xf numFmtId="0" fontId="42" fillId="0" borderId="10" xfId="35" applyFont="1" applyFill="1" applyBorder="1">
      <alignment vertical="center"/>
    </xf>
    <xf numFmtId="0" fontId="68" fillId="28" borderId="3" xfId="35" applyFont="1" applyFill="1" applyBorder="1" applyAlignment="1">
      <alignment horizontal="center" vertical="center" wrapText="1"/>
    </xf>
    <xf numFmtId="0" fontId="68" fillId="28" borderId="2" xfId="35" applyFont="1" applyFill="1" applyBorder="1" applyAlignment="1">
      <alignment horizontal="center" vertical="center" wrapText="1"/>
    </xf>
    <xf numFmtId="0" fontId="69" fillId="28" borderId="2" xfId="35" applyFont="1" applyFill="1" applyBorder="1" applyAlignment="1">
      <alignment horizontal="center" vertical="center" wrapText="1"/>
    </xf>
    <xf numFmtId="0" fontId="68" fillId="28" borderId="6" xfId="35" applyFont="1" applyFill="1" applyBorder="1" applyAlignment="1">
      <alignment horizontal="center" vertical="center" wrapText="1"/>
    </xf>
    <xf numFmtId="0" fontId="70" fillId="28" borderId="7" xfId="35" applyFont="1" applyFill="1" applyBorder="1" applyAlignment="1">
      <alignment horizontal="center" vertical="center" wrapText="1"/>
    </xf>
    <xf numFmtId="0" fontId="70" fillId="28" borderId="4" xfId="35" applyFont="1" applyFill="1" applyBorder="1" applyAlignment="1">
      <alignment horizontal="center" vertical="center" wrapText="1"/>
    </xf>
    <xf numFmtId="0" fontId="70" fillId="28" borderId="2" xfId="35" applyFont="1" applyFill="1" applyBorder="1" applyAlignment="1">
      <alignment horizontal="center" vertical="center" wrapText="1"/>
    </xf>
    <xf numFmtId="0" fontId="71" fillId="28" borderId="2" xfId="35" applyFont="1" applyFill="1" applyBorder="1" applyAlignment="1">
      <alignment horizontal="center" vertical="center" wrapText="1"/>
    </xf>
    <xf numFmtId="0" fontId="69" fillId="28" borderId="3" xfId="35" applyFont="1" applyFill="1" applyBorder="1" applyAlignment="1">
      <alignment horizontal="center" vertical="center" wrapText="1"/>
    </xf>
    <xf numFmtId="0" fontId="70" fillId="28" borderId="3" xfId="35" applyFont="1" applyFill="1" applyBorder="1" applyAlignment="1">
      <alignment horizontal="center" vertical="center" wrapText="1"/>
    </xf>
    <xf numFmtId="0" fontId="71" fillId="28" borderId="3" xfId="35" applyFont="1" applyFill="1" applyBorder="1" applyAlignment="1">
      <alignment horizontal="center" vertical="center" wrapText="1"/>
    </xf>
    <xf numFmtId="0" fontId="71" fillId="28" borderId="4" xfId="35" applyFont="1" applyFill="1" applyBorder="1" applyAlignment="1">
      <alignment horizontal="center" vertical="center" wrapText="1"/>
    </xf>
    <xf numFmtId="0" fontId="72" fillId="0" borderId="2" xfId="35" applyFont="1" applyFill="1" applyBorder="1" applyAlignment="1">
      <alignment horizontal="center" vertical="center" wrapText="1"/>
    </xf>
    <xf numFmtId="0" fontId="57" fillId="0" borderId="2" xfId="35" applyFont="1" applyFill="1" applyBorder="1" applyAlignment="1">
      <alignment horizontal="center" vertical="center" wrapText="1"/>
    </xf>
    <xf numFmtId="0" fontId="73" fillId="0" borderId="2" xfId="35" applyFont="1" applyFill="1" applyBorder="1" applyAlignment="1">
      <alignment horizontal="center" vertical="center" wrapText="1"/>
    </xf>
    <xf numFmtId="0" fontId="74" fillId="0" borderId="2" xfId="35" applyFont="1" applyFill="1" applyBorder="1" applyAlignment="1">
      <alignment horizontal="center" vertical="center" wrapText="1"/>
    </xf>
    <xf numFmtId="0" fontId="75" fillId="0" borderId="2" xfId="35" applyFont="1" applyFill="1" applyBorder="1" applyAlignment="1">
      <alignment horizontal="center" vertical="center" wrapText="1"/>
    </xf>
    <xf numFmtId="179" fontId="73" fillId="0" borderId="2" xfId="35" applyNumberFormat="1" applyFont="1" applyFill="1" applyBorder="1" applyAlignment="1">
      <alignment horizontal="center" vertical="center" wrapText="1"/>
    </xf>
    <xf numFmtId="0" fontId="76" fillId="0" borderId="2" xfId="35" applyFont="1" applyFill="1" applyBorder="1" applyAlignment="1">
      <alignment horizontal="center" vertical="center" wrapText="1"/>
    </xf>
    <xf numFmtId="0" fontId="72" fillId="0" borderId="5" xfId="35" applyFont="1" applyFill="1" applyBorder="1" applyAlignment="1">
      <alignment horizontal="center" vertical="center" wrapText="1"/>
    </xf>
    <xf numFmtId="0" fontId="75" fillId="0" borderId="5" xfId="35" applyFont="1" applyFill="1" applyBorder="1" applyAlignment="1">
      <alignment horizontal="center" vertical="center" wrapText="1"/>
    </xf>
    <xf numFmtId="181" fontId="77" fillId="13" borderId="2" xfId="0" applyNumberFormat="1" applyFont="1" applyFill="1" applyBorder="1" applyAlignment="1">
      <alignment horizontal="center"/>
    </xf>
    <xf numFmtId="181" fontId="77" fillId="13" borderId="2" xfId="0" applyNumberFormat="1" applyFont="1" applyFill="1" applyBorder="1" applyAlignment="1">
      <alignment horizontal="center" wrapText="1"/>
    </xf>
    <xf numFmtId="181" fontId="78" fillId="13" borderId="2" xfId="0" applyNumberFormat="1" applyFont="1" applyFill="1" applyBorder="1" applyAlignment="1">
      <alignment horizontal="left" wrapText="1"/>
    </xf>
    <xf numFmtId="181" fontId="77" fillId="0" borderId="2" xfId="0" applyNumberFormat="1" applyFont="1" applyFill="1" applyBorder="1" applyAlignment="1">
      <alignment horizontal="center" wrapText="1"/>
    </xf>
    <xf numFmtId="182" fontId="79" fillId="0" borderId="2" xfId="0" applyNumberFormat="1" applyFont="1" applyFill="1" applyBorder="1" applyAlignment="1">
      <alignment horizontal="right"/>
    </xf>
    <xf numFmtId="181" fontId="80" fillId="15" borderId="2" xfId="0" applyNumberFormat="1" applyFont="1" applyFill="1" applyBorder="1" applyAlignment="1">
      <alignment horizontal="center"/>
    </xf>
    <xf numFmtId="181" fontId="77" fillId="15" borderId="2" xfId="0" applyNumberFormat="1" applyFont="1" applyFill="1" applyBorder="1" applyAlignment="1">
      <alignment horizontal="center" wrapText="1"/>
    </xf>
    <xf numFmtId="181" fontId="78" fillId="15" borderId="2" xfId="0" applyNumberFormat="1" applyFont="1" applyFill="1" applyBorder="1" applyAlignment="1">
      <alignment horizontal="left" wrapText="1"/>
    </xf>
    <xf numFmtId="182" fontId="79" fillId="0" borderId="2" xfId="0" applyNumberFormat="1" applyFont="1" applyFill="1" applyBorder="1" applyAlignment="1">
      <alignment horizontal="right" vertical="center"/>
    </xf>
    <xf numFmtId="181" fontId="81" fillId="0" borderId="2" xfId="0" applyNumberFormat="1" applyFont="1" applyFill="1" applyBorder="1" applyAlignment="1">
      <alignment horizontal="right"/>
    </xf>
    <xf numFmtId="181" fontId="82" fillId="0" borderId="2" xfId="0" applyNumberFormat="1" applyFont="1" applyFill="1" applyBorder="1" applyAlignment="1">
      <alignment horizontal="center" wrapText="1"/>
    </xf>
    <xf numFmtId="181" fontId="81" fillId="0" borderId="2" xfId="0" applyNumberFormat="1" applyFont="1" applyFill="1" applyBorder="1" applyAlignment="1">
      <alignment horizontal="left" wrapText="1"/>
    </xf>
    <xf numFmtId="182" fontId="82" fillId="0" borderId="2" xfId="0" applyNumberFormat="1" applyFont="1" applyFill="1" applyBorder="1" applyAlignment="1">
      <alignment horizontal="right"/>
    </xf>
    <xf numFmtId="181" fontId="82" fillId="0" borderId="2" xfId="52" applyNumberFormat="1" applyFont="1" applyFill="1" applyBorder="1" applyAlignment="1">
      <alignment horizontal="center"/>
    </xf>
    <xf numFmtId="181" fontId="81" fillId="0" borderId="2" xfId="52" applyNumberFormat="1" applyFont="1" applyFill="1" applyBorder="1" applyAlignment="1">
      <alignment horizontal="left"/>
    </xf>
    <xf numFmtId="181" fontId="82" fillId="0" borderId="2" xfId="52" applyNumberFormat="1" applyFont="1" applyFill="1" applyBorder="1" applyAlignment="1">
      <alignment horizontal="left"/>
    </xf>
    <xf numFmtId="179" fontId="82" fillId="0" borderId="2" xfId="52" applyNumberFormat="1" applyFont="1" applyFill="1" applyBorder="1" applyAlignment="1">
      <alignment horizontal="right"/>
    </xf>
    <xf numFmtId="181" fontId="78" fillId="15" borderId="2" xfId="52" applyNumberFormat="1" applyFont="1" applyFill="1" applyBorder="1" applyAlignment="1">
      <alignment horizontal="left"/>
    </xf>
    <xf numFmtId="181" fontId="79" fillId="0" borderId="2" xfId="0" applyNumberFormat="1" applyFont="1" applyFill="1" applyBorder="1" applyAlignment="1">
      <alignment horizontal="center"/>
    </xf>
    <xf numFmtId="179" fontId="79" fillId="0" borderId="2" xfId="0" applyNumberFormat="1" applyFont="1" applyFill="1" applyBorder="1" applyAlignment="1">
      <alignment horizontal="right"/>
    </xf>
    <xf numFmtId="181" fontId="83" fillId="15" borderId="2" xfId="52" applyNumberFormat="1" applyFont="1" applyFill="1" applyBorder="1" applyAlignment="1">
      <alignment horizontal="center"/>
    </xf>
    <xf numFmtId="181" fontId="79" fillId="0" borderId="2" xfId="52" applyNumberFormat="1" applyFont="1" applyFill="1" applyBorder="1" applyAlignment="1">
      <alignment horizontal="left"/>
    </xf>
    <xf numFmtId="179" fontId="79" fillId="0" borderId="2" xfId="52" applyNumberFormat="1" applyFont="1" applyFill="1" applyBorder="1" applyAlignment="1">
      <alignment horizontal="right"/>
    </xf>
    <xf numFmtId="181" fontId="84" fillId="0" borderId="2" xfId="52" applyNumberFormat="1" applyFont="1" applyFill="1" applyBorder="1" applyAlignment="1">
      <alignment horizontal="left"/>
    </xf>
    <xf numFmtId="181" fontId="85" fillId="0" borderId="2" xfId="0" applyNumberFormat="1" applyFont="1" applyFill="1" applyBorder="1" applyAlignment="1">
      <alignment horizontal="center"/>
    </xf>
    <xf numFmtId="181" fontId="86" fillId="0" borderId="2" xfId="52" applyNumberFormat="1" applyFont="1" applyFill="1" applyBorder="1" applyAlignment="1">
      <alignment horizontal="center"/>
    </xf>
    <xf numFmtId="181" fontId="87" fillId="0" borderId="2" xfId="52" applyNumberFormat="1" applyFont="1" applyFill="1" applyBorder="1" applyAlignment="1">
      <alignment horizontal="left"/>
    </xf>
    <xf numFmtId="179" fontId="88" fillId="0" borderId="2" xfId="52" applyNumberFormat="1" applyFont="1" applyFill="1" applyBorder="1" applyAlignment="1">
      <alignment horizontal="right"/>
    </xf>
    <xf numFmtId="181" fontId="86" fillId="0" borderId="2" xfId="52" applyNumberFormat="1" applyFont="1" applyFill="1" applyBorder="1" applyAlignment="1">
      <alignment horizontal="left"/>
    </xf>
    <xf numFmtId="181" fontId="89" fillId="0" borderId="2" xfId="52" applyNumberFormat="1" applyFont="1" applyFill="1" applyBorder="1" applyAlignment="1">
      <alignment horizontal="center"/>
    </xf>
    <xf numFmtId="181" fontId="90" fillId="0" borderId="2" xfId="52" applyNumberFormat="1" applyFont="1" applyFill="1" applyBorder="1" applyAlignment="1">
      <alignment horizontal="center"/>
    </xf>
    <xf numFmtId="181" fontId="89" fillId="0" borderId="2" xfId="52" applyNumberFormat="1" applyFont="1" applyFill="1" applyBorder="1" applyAlignment="1">
      <alignment horizontal="left"/>
    </xf>
    <xf numFmtId="181" fontId="90" fillId="0" borderId="2" xfId="52" applyNumberFormat="1" applyFont="1" applyFill="1" applyBorder="1" applyAlignment="1">
      <alignment horizontal="left"/>
    </xf>
    <xf numFmtId="10" fontId="91" fillId="2" borderId="2" xfId="52" applyNumberFormat="1" applyFont="1" applyFill="1" applyBorder="1" applyAlignment="1">
      <alignment horizontal="right"/>
    </xf>
    <xf numFmtId="0" fontId="92" fillId="0" borderId="2" xfId="53" applyFont="1" applyFill="1" applyBorder="1" applyAlignment="1">
      <alignment horizontal="center" vertical="center"/>
    </xf>
    <xf numFmtId="181" fontId="8" fillId="0" borderId="2" xfId="51" applyNumberFormat="1" applyFont="1" applyFill="1" applyBorder="1" applyAlignment="1">
      <alignment horizontal="left"/>
    </xf>
    <xf numFmtId="179" fontId="90" fillId="0" borderId="2" xfId="52" applyNumberFormat="1" applyFont="1" applyFill="1" applyBorder="1" applyAlignment="1">
      <alignment horizontal="right"/>
    </xf>
    <xf numFmtId="0" fontId="93" fillId="0" borderId="2" xfId="0" applyFont="1" applyFill="1" applyBorder="1">
      <alignment vertical="center"/>
    </xf>
    <xf numFmtId="182" fontId="94" fillId="0" borderId="2" xfId="0" applyNumberFormat="1" applyFont="1" applyFill="1" applyBorder="1">
      <alignment vertical="center"/>
    </xf>
    <xf numFmtId="1" fontId="94" fillId="0" borderId="2" xfId="0" applyNumberFormat="1" applyFont="1" applyFill="1" applyBorder="1">
      <alignment vertical="center"/>
    </xf>
    <xf numFmtId="0" fontId="95" fillId="29" borderId="10" xfId="10" applyFont="1" applyFill="1" applyBorder="1" applyAlignment="1">
      <alignment horizontal="center" vertical="center" wrapText="1"/>
    </xf>
    <xf numFmtId="0" fontId="7" fillId="0" borderId="10" xfId="35" applyFont="1" applyFill="1" applyBorder="1" applyAlignment="1">
      <alignment horizontal="left" vertical="center"/>
    </xf>
    <xf numFmtId="0" fontId="42" fillId="0" borderId="12" xfId="35" applyFont="1" applyFill="1" applyBorder="1">
      <alignment vertical="center"/>
    </xf>
    <xf numFmtId="0" fontId="96" fillId="29" borderId="0" xfId="10" applyFont="1" applyFill="1" applyBorder="1" applyAlignment="1">
      <alignment horizontal="center" vertical="center" wrapText="1"/>
    </xf>
    <xf numFmtId="0" fontId="42" fillId="0" borderId="10" xfId="35" applyFont="1" applyFill="1" applyBorder="1" applyAlignment="1">
      <alignment horizontal="left" vertical="center"/>
    </xf>
    <xf numFmtId="0" fontId="42" fillId="0" borderId="12" xfId="35" applyFont="1" applyFill="1" applyBorder="1" applyAlignment="1">
      <alignment horizontal="left" vertical="center"/>
    </xf>
    <xf numFmtId="0" fontId="70" fillId="28" borderId="8" xfId="35" applyFont="1" applyFill="1" applyBorder="1" applyAlignment="1">
      <alignment horizontal="center" vertical="center" wrapText="1"/>
    </xf>
    <xf numFmtId="0" fontId="70" fillId="0" borderId="8" xfId="35" applyFont="1" applyFill="1" applyBorder="1" applyAlignment="1">
      <alignment horizontal="center" vertical="center" wrapText="1"/>
    </xf>
    <xf numFmtId="0" fontId="69" fillId="0" borderId="3" xfId="35" applyFont="1" applyFill="1" applyBorder="1" applyAlignment="1">
      <alignment horizontal="center" vertical="center" wrapText="1"/>
    </xf>
    <xf numFmtId="0" fontId="89" fillId="0" borderId="4" xfId="35" applyFont="1" applyFill="1" applyBorder="1" applyAlignment="1">
      <alignment horizontal="center" vertical="center" wrapText="1"/>
    </xf>
    <xf numFmtId="0" fontId="97" fillId="15" borderId="2" xfId="35" applyFont="1" applyFill="1" applyBorder="1" applyAlignment="1">
      <alignment horizontal="center" vertical="center" wrapText="1"/>
    </xf>
    <xf numFmtId="0" fontId="98" fillId="15" borderId="2" xfId="35" applyFont="1" applyFill="1" applyBorder="1" applyAlignment="1">
      <alignment horizontal="center" vertical="center" wrapText="1"/>
    </xf>
    <xf numFmtId="179" fontId="76" fillId="0" borderId="2" xfId="35" applyNumberFormat="1" applyFont="1" applyFill="1" applyBorder="1" applyAlignment="1">
      <alignment horizontal="center" vertical="center" wrapText="1"/>
    </xf>
    <xf numFmtId="179" fontId="75" fillId="0" borderId="2" xfId="35" applyNumberFormat="1" applyFont="1" applyFill="1" applyBorder="1" applyAlignment="1">
      <alignment horizontal="center" vertical="center" wrapText="1"/>
    </xf>
    <xf numFmtId="179" fontId="99" fillId="0" borderId="2" xfId="35" applyNumberFormat="1" applyFont="1" applyFill="1" applyBorder="1" applyAlignment="1">
      <alignment horizontal="center" vertical="center" wrapText="1"/>
    </xf>
    <xf numFmtId="182" fontId="73" fillId="0" borderId="2" xfId="35" applyNumberFormat="1" applyFont="1" applyFill="1" applyBorder="1" applyAlignment="1">
      <alignment horizontal="center" vertical="center" wrapText="1"/>
    </xf>
    <xf numFmtId="0" fontId="97" fillId="30" borderId="2" xfId="35" applyFont="1" applyFill="1" applyBorder="1" applyAlignment="1">
      <alignment horizontal="center" vertical="center" wrapText="1"/>
    </xf>
    <xf numFmtId="0" fontId="98" fillId="30" borderId="2" xfId="35" applyFont="1" applyFill="1" applyBorder="1" applyAlignment="1">
      <alignment horizontal="center" vertical="center" wrapText="1"/>
    </xf>
    <xf numFmtId="179" fontId="75" fillId="0" borderId="5" xfId="35" applyNumberFormat="1" applyFont="1" applyFill="1" applyBorder="1" applyAlignment="1">
      <alignment horizontal="center" vertical="center" wrapText="1"/>
    </xf>
    <xf numFmtId="182" fontId="80" fillId="0" borderId="5" xfId="35" applyNumberFormat="1" applyFont="1" applyFill="1" applyBorder="1" applyAlignment="1">
      <alignment horizontal="center" vertical="center" wrapText="1"/>
    </xf>
    <xf numFmtId="0" fontId="8" fillId="30" borderId="2" xfId="35" applyFont="1" applyFill="1" applyBorder="1" applyAlignment="1">
      <alignment horizontal="center" vertical="center" wrapText="1"/>
    </xf>
    <xf numFmtId="0" fontId="98" fillId="30" borderId="5" xfId="35" applyFont="1" applyFill="1" applyBorder="1" applyAlignment="1">
      <alignment horizontal="center" vertical="center" wrapText="1"/>
    </xf>
    <xf numFmtId="0" fontId="97" fillId="30" borderId="5" xfId="35" applyFont="1" applyFill="1" applyBorder="1" applyAlignment="1">
      <alignment horizontal="center" vertical="center" wrapText="1"/>
    </xf>
    <xf numFmtId="0" fontId="76" fillId="0" borderId="5" xfId="35" applyFont="1" applyFill="1" applyBorder="1" applyAlignment="1">
      <alignment horizontal="center" vertical="center" wrapText="1"/>
    </xf>
    <xf numFmtId="182" fontId="78" fillId="0" borderId="2" xfId="0" applyNumberFormat="1" applyFont="1" applyFill="1" applyBorder="1" applyAlignment="1">
      <alignment horizontal="right"/>
    </xf>
    <xf numFmtId="182" fontId="91" fillId="0" borderId="2" xfId="0" applyNumberFormat="1" applyFont="1" applyFill="1" applyBorder="1" applyAlignment="1">
      <alignment horizontal="right"/>
    </xf>
    <xf numFmtId="182" fontId="91" fillId="0" borderId="5" xfId="0" applyNumberFormat="1" applyFont="1" applyFill="1" applyBorder="1" applyAlignment="1">
      <alignment horizontal="right"/>
    </xf>
    <xf numFmtId="182" fontId="91" fillId="0" borderId="5" xfId="35" applyNumberFormat="1" applyFont="1" applyFill="1" applyBorder="1" applyAlignment="1">
      <alignment horizontal="right" wrapText="1"/>
    </xf>
    <xf numFmtId="181" fontId="91" fillId="0" borderId="2" xfId="0" applyNumberFormat="1" applyFont="1" applyFill="1" applyBorder="1" applyAlignment="1">
      <alignment horizontal="right"/>
    </xf>
    <xf numFmtId="182" fontId="77" fillId="0" borderId="2" xfId="0" applyNumberFormat="1" applyFont="1" applyFill="1" applyBorder="1" applyAlignment="1">
      <alignment horizontal="right" vertical="center"/>
    </xf>
    <xf numFmtId="181" fontId="90" fillId="0" borderId="2" xfId="0" applyNumberFormat="1" applyFont="1" applyFill="1" applyBorder="1" applyAlignment="1">
      <alignment horizontal="center"/>
    </xf>
    <xf numFmtId="182" fontId="100" fillId="0" borderId="2" xfId="0" applyNumberFormat="1" applyFont="1" applyFill="1" applyBorder="1" applyAlignment="1">
      <alignment horizontal="right"/>
    </xf>
    <xf numFmtId="179" fontId="77" fillId="0" borderId="2" xfId="52" applyNumberFormat="1" applyFont="1" applyFill="1" applyBorder="1" applyAlignment="1">
      <alignment horizontal="right"/>
    </xf>
    <xf numFmtId="179" fontId="91" fillId="0" borderId="2" xfId="52" applyNumberFormat="1" applyFont="1" applyFill="1" applyBorder="1" applyAlignment="1">
      <alignment horizontal="right"/>
    </xf>
    <xf numFmtId="181" fontId="91" fillId="0" borderId="2" xfId="52" applyNumberFormat="1" applyFont="1" applyFill="1" applyBorder="1" applyAlignment="1">
      <alignment horizontal="right"/>
    </xf>
    <xf numFmtId="1" fontId="84" fillId="0" borderId="2" xfId="53" applyNumberFormat="1" applyFont="1" applyFill="1" applyBorder="1" applyAlignment="1">
      <alignment horizontal="right" vertical="center"/>
    </xf>
    <xf numFmtId="1" fontId="77" fillId="0" borderId="2" xfId="53" applyNumberFormat="1" applyFont="1" applyFill="1" applyBorder="1" applyAlignment="1">
      <alignment horizontal="right" vertical="center"/>
    </xf>
    <xf numFmtId="179" fontId="91" fillId="0" borderId="2" xfId="0" applyNumberFormat="1" applyFont="1" applyFill="1" applyBorder="1" applyAlignment="1">
      <alignment horizontal="right"/>
    </xf>
    <xf numFmtId="181" fontId="90" fillId="0" borderId="2" xfId="0" applyNumberFormat="1" applyFont="1" applyFill="1" applyBorder="1" applyAlignment="1">
      <alignment horizontal="right"/>
    </xf>
    <xf numFmtId="183" fontId="91" fillId="0" borderId="2" xfId="52" applyNumberFormat="1" applyFont="1" applyFill="1" applyBorder="1" applyAlignment="1">
      <alignment horizontal="right"/>
    </xf>
    <xf numFmtId="1" fontId="79" fillId="0" borderId="2" xfId="53" applyNumberFormat="1" applyFont="1" applyFill="1" applyBorder="1" applyAlignment="1">
      <alignment horizontal="right" vertical="center"/>
    </xf>
    <xf numFmtId="10" fontId="90" fillId="0" borderId="2" xfId="53" applyNumberFormat="1" applyFont="1" applyFill="1" applyBorder="1" applyAlignment="1">
      <alignment horizontal="right" vertical="center"/>
    </xf>
    <xf numFmtId="1" fontId="83" fillId="0" borderId="2" xfId="53" applyNumberFormat="1" applyFont="1" applyFill="1" applyBorder="1" applyAlignment="1">
      <alignment horizontal="right" vertical="center"/>
    </xf>
    <xf numFmtId="183" fontId="90" fillId="0" borderId="2" xfId="52" applyNumberFormat="1" applyFont="1" applyFill="1" applyBorder="1" applyAlignment="1">
      <alignment horizontal="right"/>
    </xf>
    <xf numFmtId="182" fontId="90" fillId="0" borderId="2" xfId="52" applyNumberFormat="1" applyFont="1" applyFill="1" applyBorder="1" applyAlignment="1">
      <alignment horizontal="right"/>
    </xf>
    <xf numFmtId="181" fontId="8" fillId="0" borderId="2" xfId="52" applyNumberFormat="1" applyFont="1" applyFill="1" applyBorder="1" applyAlignment="1">
      <alignment horizontal="center"/>
    </xf>
    <xf numFmtId="1" fontId="86" fillId="0" borderId="2" xfId="53" applyNumberFormat="1" applyFont="1" applyFill="1" applyBorder="1" applyAlignment="1">
      <alignment horizontal="right" vertical="center"/>
    </xf>
    <xf numFmtId="1" fontId="90" fillId="0" borderId="2" xfId="53" applyNumberFormat="1" applyFont="1" applyFill="1" applyBorder="1" applyAlignment="1">
      <alignment horizontal="right" vertical="center"/>
    </xf>
    <xf numFmtId="181" fontId="90" fillId="0" borderId="2" xfId="52" applyNumberFormat="1" applyFont="1" applyFill="1" applyBorder="1" applyAlignment="1">
      <alignment horizontal="right"/>
    </xf>
    <xf numFmtId="10" fontId="90" fillId="2" borderId="2" xfId="53" applyNumberFormat="1" applyFont="1" applyFill="1" applyBorder="1" applyAlignment="1">
      <alignment horizontal="right" vertical="center"/>
    </xf>
    <xf numFmtId="0" fontId="2" fillId="25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2" borderId="0" xfId="0" applyFill="1" applyBorder="1" applyAlignment="1">
      <alignment horizontal="center" vertical="center"/>
    </xf>
    <xf numFmtId="10" fontId="0" fillId="3" borderId="0" xfId="0" applyNumberFormat="1" applyFill="1" applyBorder="1" applyAlignment="1">
      <alignment horizontal="left" vertical="center"/>
    </xf>
    <xf numFmtId="9" fontId="0" fillId="3" borderId="0" xfId="0" applyNumberFormat="1" applyFill="1" applyBorder="1" applyAlignment="1">
      <alignment horizontal="left" vertical="center"/>
    </xf>
    <xf numFmtId="0" fontId="0" fillId="7" borderId="0" xfId="0" applyFill="1" applyBorder="1">
      <alignment vertical="center"/>
    </xf>
    <xf numFmtId="0" fontId="0" fillId="7" borderId="0" xfId="0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left" vertical="center"/>
    </xf>
    <xf numFmtId="0" fontId="26" fillId="15" borderId="0" xfId="0" applyFont="1" applyFill="1" applyBorder="1" applyAlignment="1">
      <alignment horizontal="left" vertical="center"/>
    </xf>
    <xf numFmtId="0" fontId="26" fillId="15" borderId="0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center" vertical="center"/>
    </xf>
    <xf numFmtId="0" fontId="3" fillId="4" borderId="0" xfId="10" applyFill="1" applyBorder="1" applyAlignment="1">
      <alignment horizontal="left" vertical="center"/>
    </xf>
    <xf numFmtId="0" fontId="0" fillId="22" borderId="0" xfId="0" applyFill="1" applyBorder="1">
      <alignment vertical="center"/>
    </xf>
    <xf numFmtId="176" fontId="28" fillId="31" borderId="0" xfId="0" applyNumberFormat="1" applyFont="1" applyFill="1" applyBorder="1">
      <alignment vertical="center"/>
    </xf>
    <xf numFmtId="0" fontId="93" fillId="9" borderId="0" xfId="0" applyFont="1" applyFill="1">
      <alignment vertical="center"/>
    </xf>
    <xf numFmtId="10" fontId="93" fillId="9" borderId="0" xfId="0" applyNumberFormat="1" applyFont="1" applyFill="1">
      <alignment vertical="center"/>
    </xf>
    <xf numFmtId="10" fontId="0" fillId="13" borderId="0" xfId="0" applyNumberFormat="1" applyFill="1">
      <alignment vertical="center"/>
    </xf>
    <xf numFmtId="10" fontId="21" fillId="9" borderId="0" xfId="0" applyNumberFormat="1" applyFont="1" applyFill="1">
      <alignment vertical="center"/>
    </xf>
    <xf numFmtId="10" fontId="15" fillId="5" borderId="0" xfId="0" applyNumberFormat="1" applyFont="1" applyFill="1" applyBorder="1">
      <alignment vertical="center"/>
    </xf>
    <xf numFmtId="10" fontId="28" fillId="13" borderId="0" xfId="0" applyNumberFormat="1" applyFont="1" applyFill="1">
      <alignment vertical="center"/>
    </xf>
    <xf numFmtId="178" fontId="28" fillId="31" borderId="0" xfId="0" applyNumberFormat="1" applyFont="1" applyFill="1" applyBorder="1">
      <alignment vertical="center"/>
    </xf>
    <xf numFmtId="10" fontId="28" fillId="31" borderId="0" xfId="0" applyNumberFormat="1" applyFont="1" applyFill="1" applyBorder="1">
      <alignment vertical="center"/>
    </xf>
    <xf numFmtId="0" fontId="28" fillId="31" borderId="0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概算表格--总概算表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东华甲醇概算（0907）" xfId="51"/>
    <cellStyle name="常规_中海油估算（2010.8.13）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敏感性分析图</a:t>
            </a:r>
            <a:endParaRPr lang="zh-CN"/>
          </a:p>
        </c:rich>
      </c:tx>
      <c:layout>
        <c:manualLayout>
          <c:xMode val="edge"/>
          <c:yMode val="edge"/>
          <c:x val="0.362595419847328"/>
          <c:y val="0.023880597014925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敏感性分析!$D$22:$D$23</c:f>
              <c:strCache>
                <c:ptCount val="1"/>
                <c:pt idx="0">
                  <c:v>收益率变化  煤价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030294123539901"/>
                  <c:y val="0.05450417205312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val>
            <c:numRef>
              <c:f>敏感性分析!$D$24:$D$28</c:f>
              <c:numCache>
                <c:formatCode>0.00%</c:formatCode>
                <c:ptCount val="5"/>
                <c:pt idx="0">
                  <c:v>0.08300968373486</c:v>
                </c:pt>
                <c:pt idx="1">
                  <c:v>0.0898208315791045</c:v>
                </c:pt>
                <c:pt idx="2">
                  <c:v>0.0877929623133864</c:v>
                </c:pt>
                <c:pt idx="3">
                  <c:v>0.102909693000117</c:v>
                </c:pt>
                <c:pt idx="4">
                  <c:v>0.109217228386156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敏感性分析!$E$22:$E$23</c:f>
              <c:strCache>
                <c:ptCount val="1"/>
                <c:pt idx="0">
                  <c:v>收益率变化  气价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敏感性分析!$E$24:$E$28</c:f>
              <c:numCache>
                <c:formatCode>0.00%</c:formatCode>
                <c:ptCount val="5"/>
                <c:pt idx="0">
                  <c:v>0.138198209302945</c:v>
                </c:pt>
                <c:pt idx="1">
                  <c:v>0.118332144272807</c:v>
                </c:pt>
                <c:pt idx="2">
                  <c:v>0.0877929623133864</c:v>
                </c:pt>
                <c:pt idx="3">
                  <c:v>0.0736081307158463</c:v>
                </c:pt>
                <c:pt idx="4">
                  <c:v>0.047467359906129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敏感性分析!$F$22:$F$23</c:f>
              <c:strCache>
                <c:ptCount val="1"/>
                <c:pt idx="0">
                  <c:v>收益率变化  建设投资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敏感性分析!$F$24:$F$28</c:f>
              <c:numCache>
                <c:formatCode>0.00%</c:formatCode>
                <c:ptCount val="5"/>
                <c:pt idx="0">
                  <c:v>0.0737048553318416</c:v>
                </c:pt>
                <c:pt idx="1">
                  <c:v>0.0845653866802099</c:v>
                </c:pt>
                <c:pt idx="2">
                  <c:v>0.0877929623133864</c:v>
                </c:pt>
                <c:pt idx="3">
                  <c:v>0.111331768479898</c:v>
                </c:pt>
                <c:pt idx="4">
                  <c:v>0.12828454623378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敏感性分析!$G$22:$G$23</c:f>
              <c:strCache>
                <c:ptCount val="1"/>
                <c:pt idx="0">
                  <c:v>收益率变化  产量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val>
            <c:numRef>
              <c:f>敏感性分析!$G$24:$G$28</c:f>
              <c:numCache>
                <c:formatCode>0.00%</c:formatCode>
                <c:ptCount val="5"/>
                <c:pt idx="0">
                  <c:v>0.144145559795803</c:v>
                </c:pt>
                <c:pt idx="1">
                  <c:v>0.121518934665888</c:v>
                </c:pt>
                <c:pt idx="2">
                  <c:v>0.0877929623133864</c:v>
                </c:pt>
                <c:pt idx="3">
                  <c:v>0.0697483100085863</c:v>
                </c:pt>
                <c:pt idx="4">
                  <c:v>0.0385714176432661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21855824"/>
        <c:axId val="-1521851472"/>
      </c:lineChart>
      <c:catAx>
        <c:axId val="-152185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1521851472"/>
        <c:crosses val="autoZero"/>
        <c:auto val="1"/>
        <c:lblAlgn val="ctr"/>
        <c:lblOffset val="100"/>
        <c:noMultiLvlLbl val="0"/>
      </c:catAx>
      <c:valAx>
        <c:axId val="-15218514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152185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93CC6E1-AC2F-4015-90D1-F06B36F0346B}" type="doc">
      <dgm:prSet loTypeId="urn:microsoft.com/office/officeart/2005/8/layout/bProcess3" loCatId="process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zh-CN" altLang="en-US"/>
        </a:p>
      </dgm:t>
    </dgm:pt>
    <dgm:pt modelId="{A4A355BE-9DA2-4599-A726-9A40A67D1DE1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项目主要参数与财务指标汇总表</a:t>
          </a:r>
        </a:p>
      </dgm:t>
    </dgm:pt>
    <dgm:pt modelId="{DC8439F3-CFDA-4FA8-8059-6B12A2FC83AC}" cxnId="{78301E2C-FEDF-4BAB-AA1D-373D6E6B50F8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75C505E4-8542-4500-A7BE-127157875F76}" cxnId="{78301E2C-FEDF-4BAB-AA1D-373D6E6B50F8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82DC0E66-4A3B-4AD5-8FDC-9B9FF05C77DC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项目建设投资估算表</a:t>
          </a:r>
        </a:p>
      </dgm:t>
    </dgm:pt>
    <dgm:pt modelId="{91D09831-82D5-408F-86FF-1440702CFC7E}" cxnId="{2EBF2787-523A-4AD1-977E-60E30F7CCAA9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C2805D3A-58FE-4F2C-B484-294B7BE95B90}" cxnId="{2EBF2787-523A-4AD1-977E-60E30F7CCAA9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0D64EBDC-7169-4D65-B7C0-55898900EDB2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项目投资使用计划</a:t>
          </a:r>
        </a:p>
      </dgm:t>
    </dgm:pt>
    <dgm:pt modelId="{B529E21C-5E3B-4242-9ACD-11CBFAB098B6}" cxnId="{D7483BE0-EF5B-4A57-A710-CBF7384EC6CD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F6C69B2A-3D51-4836-A786-9D527825D058}" cxnId="{D7483BE0-EF5B-4A57-A710-CBF7384EC6CD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E285CA85-7245-43C5-92C0-09F563D7221A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销售收入计算表</a:t>
          </a:r>
        </a:p>
      </dgm:t>
    </dgm:pt>
    <dgm:pt modelId="{4D279D38-2794-4CF9-B5BB-6CB5BE513D0E}" cxnId="{2C78FA39-A940-4961-8F1C-C487D3A82BFC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CE442A1A-AFAD-4BC1-A1E8-DB081110FAAB}" cxnId="{2C78FA39-A940-4961-8F1C-C487D3A82BFC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ED8B9D06-57B4-43C1-A32D-9E98F9DB7951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经营成本计算表</a:t>
          </a:r>
        </a:p>
      </dgm:t>
    </dgm:pt>
    <dgm:pt modelId="{794B565F-8BCC-43E2-9AC8-6F1867038B14}" cxnId="{BF891EBE-CACB-4672-B711-81B870BB54AA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062CB332-F79C-4FD5-9AF1-FAD604FDA8B9}" cxnId="{BF891EBE-CACB-4672-B711-81B870BB54AA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0F3D6D93-D0AF-466D-B69E-4E5121A666AB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销售税金计算表</a:t>
          </a:r>
        </a:p>
      </dgm:t>
    </dgm:pt>
    <dgm:pt modelId="{4E991B1C-D8B7-4DBB-AE48-7B76268AEE6E}" cxnId="{6BED2A61-5568-4319-BAC2-F4AAE225FAA2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61325AF8-F55B-4BE4-AFA3-C546FE7238EF}" cxnId="{6BED2A61-5568-4319-BAC2-F4AAE225FAA2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6E5BE362-8107-4693-B47F-5BF907FBE927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流动资金估算表</a:t>
          </a:r>
        </a:p>
      </dgm:t>
    </dgm:pt>
    <dgm:pt modelId="{6F7CBFB6-B895-49A2-A1C8-758038B6AD08}" cxnId="{BA0E9407-9868-456D-A3BB-30A856763492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3AE39323-14ED-465A-B714-C425859B6C17}" cxnId="{BA0E9407-9868-456D-A3BB-30A856763492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55DDB235-C1EF-4C87-A365-08CFFDF06F53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项目资金筹措表</a:t>
          </a:r>
        </a:p>
      </dgm:t>
    </dgm:pt>
    <dgm:pt modelId="{771DE0E4-C326-4892-9DF8-0E988CACB1CD}" cxnId="{0A91700F-B743-4DF6-AD07-80562B1B2076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86AFBD5B-B291-4676-8751-B6A33792BF5B}" cxnId="{0A91700F-B743-4DF6-AD07-80562B1B2076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A13491DE-FA82-4477-8FA3-32CB3BF72F79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固定资产折旧与无形摊销估算</a:t>
          </a:r>
        </a:p>
      </dgm:t>
    </dgm:pt>
    <dgm:pt modelId="{9F4C2924-83BD-441D-A0B0-7D2C6789618E}" cxnId="{44646ADC-6D46-442C-926D-C13EB61FEA53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F6DFA2CD-7585-4955-9416-4C0493F4CFAD}" cxnId="{44646ADC-6D46-442C-926D-C13EB61FEA53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623ADF43-5D2B-4032-BFDF-3A0CE594839C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项目还本付息计划表</a:t>
          </a:r>
        </a:p>
      </dgm:t>
    </dgm:pt>
    <dgm:pt modelId="{DAE65EA9-4475-4DFC-A2EA-808D2C0C739D}" cxnId="{7B812EF4-68E8-483D-A3F1-0BE3567A9C08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FFCF0ACE-4B60-416F-B030-C3B692930D75}" cxnId="{7B812EF4-68E8-483D-A3F1-0BE3567A9C08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A41DABF9-7B3A-4627-8E95-964BF82389DB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项目总成本费用估算表</a:t>
          </a:r>
        </a:p>
      </dgm:t>
    </dgm:pt>
    <dgm:pt modelId="{1F0250F2-FCF2-4E32-9015-71C5A0B93B5E}" cxnId="{82E3EF9B-0E88-49E7-B200-26C0336438F4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CEBB7EB7-6380-44D6-A194-E544C30BD819}" cxnId="{82E3EF9B-0E88-49E7-B200-26C0336438F4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5AE180C1-1512-453F-8F07-A6656C79FDA6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损益表</a:t>
          </a:r>
        </a:p>
      </dgm:t>
    </dgm:pt>
    <dgm:pt modelId="{74C9C58F-01AE-475F-B679-214F6D7A6501}" cxnId="{EE655BEF-B0E9-45F7-92FC-B89761D151FD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D9CDB408-D9AE-4DDB-88C3-780E57AAC17C}" cxnId="{EE655BEF-B0E9-45F7-92FC-B89761D151FD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587C91BF-1139-402F-8513-6370B18924C7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财务计划现金流量表</a:t>
          </a:r>
        </a:p>
      </dgm:t>
    </dgm:pt>
    <dgm:pt modelId="{4435C8B8-EC7F-4114-A08B-A4F35A445880}" cxnId="{64C617B6-7627-44B4-884D-41142026D589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BC5CF545-A491-4B36-80D5-7722F52D3DA7}" cxnId="{64C617B6-7627-44B4-884D-41142026D589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95ECB8B9-C01B-40CC-BC53-EBA4944C6949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项目投资现金流量表</a:t>
          </a:r>
        </a:p>
      </dgm:t>
    </dgm:pt>
    <dgm:pt modelId="{2817E2B9-0A0E-4067-BC83-E80EED29DB4E}" cxnId="{0DD28D8D-5B43-4A2C-BB50-0BA78FCD0762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EED6DF66-0591-4D5F-BDEC-20EBCEFDB5AF}" cxnId="{0DD28D8D-5B43-4A2C-BB50-0BA78FCD0762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42BAB0AE-D62F-44C2-82DB-E36930AF2B5C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项目资本金现金流量表</a:t>
          </a:r>
        </a:p>
      </dgm:t>
    </dgm:pt>
    <dgm:pt modelId="{30E2EFAC-EC02-484D-82FA-3F38E01A308E}" cxnId="{0F6EDFC6-2796-4D60-99D8-0B40B9F6F77C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0837DB45-CBB1-4983-8262-BEA2EEDCAE6D}" cxnId="{0F6EDFC6-2796-4D60-99D8-0B40B9F6F77C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gm:t>
    </dgm:pt>
    <dgm:pt modelId="{7D6B6702-D066-49A3-BEB2-CDA8905310A3}">
      <dgm:prSet phldrT="[文本]"/>
      <dgm:spPr/>
      <dgm:t>
        <a:bodyPr/>
        <a:lstStyle/>
        <a:p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敏感性分析</a:t>
          </a:r>
        </a:p>
      </dgm:t>
    </dgm:pt>
    <dgm:pt modelId="{9EBD0933-B5B1-4500-A33C-8067C388089B}" cxnId="{84133997-B04B-4089-BCEC-1940DCB2F43E}" type="par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</a:endParaRPr>
        </a:p>
      </dgm:t>
    </dgm:pt>
    <dgm:pt modelId="{F7DBB9DB-11A8-4CF3-AB66-7F359DC11DE1}" cxnId="{84133997-B04B-4089-BCEC-1940DCB2F43E}" type="sibTrans">
      <dgm:prSet/>
      <dgm:spPr/>
      <dgm:t>
        <a:bodyPr/>
        <a:lstStyle/>
        <a:p>
          <a:endParaRPr lang="zh-CN" altLang="en-US">
            <a:solidFill>
              <a:sysClr val="windowText" lastClr="000000"/>
            </a:solidFill>
          </a:endParaRPr>
        </a:p>
      </dgm:t>
    </dgm:pt>
    <dgm:pt modelId="{4E6FD67C-023A-43D8-B105-DE9FBEC04A52}" type="pres">
      <dgm:prSet presAssocID="{193CC6E1-AC2F-4015-90D1-F06B36F0346B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zh-CN" altLang="en-US"/>
        </a:p>
      </dgm:t>
    </dgm:pt>
    <dgm:pt modelId="{7BB2D09B-9BAF-4086-95B0-456D4F4D9A14}" type="pres">
      <dgm:prSet presAssocID="{A4A355BE-9DA2-4599-A726-9A40A67D1DE1}" presName="node" presStyleLbl="node1" presStyleIdx="0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DA8A44EF-378F-4D40-B8BE-A8A49AD8E622}" type="pres">
      <dgm:prSet presAssocID="{75C505E4-8542-4500-A7BE-127157875F76}" presName="sibTrans" presStyleLbl="sibTrans1D1" presStyleIdx="0" presStyleCnt="15"/>
      <dgm:spPr/>
      <dgm:t>
        <a:bodyPr/>
        <a:lstStyle/>
        <a:p>
          <a:endParaRPr lang="zh-CN" altLang="en-US"/>
        </a:p>
      </dgm:t>
    </dgm:pt>
    <dgm:pt modelId="{488A6D9F-1CBA-4EA3-A1DE-5F2C3591FB2E}" type="pres">
      <dgm:prSet presAssocID="{75C505E4-8542-4500-A7BE-127157875F76}" presName="connectorText" presStyleLbl="sibTrans1D1" presStyleIdx="0" presStyleCnt="15"/>
      <dgm:spPr/>
      <dgm:t>
        <a:bodyPr/>
        <a:lstStyle/>
        <a:p>
          <a:endParaRPr lang="zh-CN" altLang="en-US"/>
        </a:p>
      </dgm:t>
    </dgm:pt>
    <dgm:pt modelId="{FDE76AFD-4C45-4145-81EF-7E856C8B95C6}" type="pres">
      <dgm:prSet presAssocID="{82DC0E66-4A3B-4AD5-8FDC-9B9FF05C77DC}" presName="node" presStyleLbl="node1" presStyleIdx="1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59CEA93D-2AB1-4053-9F68-E969600DBE33}" type="pres">
      <dgm:prSet presAssocID="{C2805D3A-58FE-4F2C-B484-294B7BE95B90}" presName="sibTrans" presStyleLbl="sibTrans1D1" presStyleIdx="1" presStyleCnt="15"/>
      <dgm:spPr/>
      <dgm:t>
        <a:bodyPr/>
        <a:lstStyle/>
        <a:p>
          <a:endParaRPr lang="zh-CN" altLang="en-US"/>
        </a:p>
      </dgm:t>
    </dgm:pt>
    <dgm:pt modelId="{205C1609-261C-42CC-816C-29AA5216F88A}" type="pres">
      <dgm:prSet presAssocID="{C2805D3A-58FE-4F2C-B484-294B7BE95B90}" presName="connectorText" presStyleLbl="sibTrans1D1" presStyleIdx="1" presStyleCnt="15"/>
      <dgm:spPr/>
      <dgm:t>
        <a:bodyPr/>
        <a:lstStyle/>
        <a:p>
          <a:endParaRPr lang="zh-CN" altLang="en-US"/>
        </a:p>
      </dgm:t>
    </dgm:pt>
    <dgm:pt modelId="{52300D7E-36BC-4D14-9A10-7BC9E14184BB}" type="pres">
      <dgm:prSet presAssocID="{0D64EBDC-7169-4D65-B7C0-55898900EDB2}" presName="node" presStyleLbl="node1" presStyleIdx="2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523F7C94-F97D-47E4-9DB3-BE152323C4E7}" type="pres">
      <dgm:prSet presAssocID="{F6C69B2A-3D51-4836-A786-9D527825D058}" presName="sibTrans" presStyleLbl="sibTrans1D1" presStyleIdx="2" presStyleCnt="15"/>
      <dgm:spPr/>
      <dgm:t>
        <a:bodyPr/>
        <a:lstStyle/>
        <a:p>
          <a:endParaRPr lang="zh-CN" altLang="en-US"/>
        </a:p>
      </dgm:t>
    </dgm:pt>
    <dgm:pt modelId="{03299124-5F09-4DAC-A2B6-07C4DBA9F173}" type="pres">
      <dgm:prSet presAssocID="{F6C69B2A-3D51-4836-A786-9D527825D058}" presName="connectorText" presStyleLbl="sibTrans1D1" presStyleIdx="2" presStyleCnt="15"/>
      <dgm:spPr/>
      <dgm:t>
        <a:bodyPr/>
        <a:lstStyle/>
        <a:p>
          <a:endParaRPr lang="zh-CN" altLang="en-US"/>
        </a:p>
      </dgm:t>
    </dgm:pt>
    <dgm:pt modelId="{E1B6F42D-AD2F-483E-85EB-03684F0B1601}" type="pres">
      <dgm:prSet presAssocID="{E285CA85-7245-43C5-92C0-09F563D7221A}" presName="node" presStyleLbl="node1" presStyleIdx="3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E71CFC40-E566-4CAC-B93B-8A98EDADEC34}" type="pres">
      <dgm:prSet presAssocID="{CE442A1A-AFAD-4BC1-A1E8-DB081110FAAB}" presName="sibTrans" presStyleLbl="sibTrans1D1" presStyleIdx="3" presStyleCnt="15"/>
      <dgm:spPr/>
      <dgm:t>
        <a:bodyPr/>
        <a:lstStyle/>
        <a:p>
          <a:endParaRPr lang="zh-CN" altLang="en-US"/>
        </a:p>
      </dgm:t>
    </dgm:pt>
    <dgm:pt modelId="{451B64D3-B0D7-4D18-BD34-A01D78A8D57A}" type="pres">
      <dgm:prSet presAssocID="{CE442A1A-AFAD-4BC1-A1E8-DB081110FAAB}" presName="connectorText" presStyleLbl="sibTrans1D1" presStyleIdx="3" presStyleCnt="15"/>
      <dgm:spPr/>
      <dgm:t>
        <a:bodyPr/>
        <a:lstStyle/>
        <a:p>
          <a:endParaRPr lang="zh-CN" altLang="en-US"/>
        </a:p>
      </dgm:t>
    </dgm:pt>
    <dgm:pt modelId="{4098447B-35FF-4DA6-9D1E-F83E49DBC357}" type="pres">
      <dgm:prSet presAssocID="{ED8B9D06-57B4-43C1-A32D-9E98F9DB7951}" presName="node" presStyleLbl="node1" presStyleIdx="4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894453E4-E476-49FB-B226-B1228D186F7E}" type="pres">
      <dgm:prSet presAssocID="{062CB332-F79C-4FD5-9AF1-FAD604FDA8B9}" presName="sibTrans" presStyleLbl="sibTrans1D1" presStyleIdx="4" presStyleCnt="15"/>
      <dgm:spPr/>
      <dgm:t>
        <a:bodyPr/>
        <a:lstStyle/>
        <a:p>
          <a:endParaRPr lang="zh-CN" altLang="en-US"/>
        </a:p>
      </dgm:t>
    </dgm:pt>
    <dgm:pt modelId="{32DE662A-A15C-467E-BA42-3C865EFD6D53}" type="pres">
      <dgm:prSet presAssocID="{062CB332-F79C-4FD5-9AF1-FAD604FDA8B9}" presName="connectorText" presStyleLbl="sibTrans1D1" presStyleIdx="4" presStyleCnt="15"/>
      <dgm:spPr/>
      <dgm:t>
        <a:bodyPr/>
        <a:lstStyle/>
        <a:p>
          <a:endParaRPr lang="zh-CN" altLang="en-US"/>
        </a:p>
      </dgm:t>
    </dgm:pt>
    <dgm:pt modelId="{3F375DB5-9FCD-492A-8792-CFF416634FD3}" type="pres">
      <dgm:prSet presAssocID="{0F3D6D93-D0AF-466D-B69E-4E5121A666AB}" presName="node" presStyleLbl="node1" presStyleIdx="5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EF3315D1-9306-42F0-9481-1655F47FF87F}" type="pres">
      <dgm:prSet presAssocID="{61325AF8-F55B-4BE4-AFA3-C546FE7238EF}" presName="sibTrans" presStyleLbl="sibTrans1D1" presStyleIdx="5" presStyleCnt="15"/>
      <dgm:spPr/>
      <dgm:t>
        <a:bodyPr/>
        <a:lstStyle/>
        <a:p>
          <a:endParaRPr lang="zh-CN" altLang="en-US"/>
        </a:p>
      </dgm:t>
    </dgm:pt>
    <dgm:pt modelId="{46BBBAB0-DBFD-47CF-82AB-94242D759B8C}" type="pres">
      <dgm:prSet presAssocID="{61325AF8-F55B-4BE4-AFA3-C546FE7238EF}" presName="connectorText" presStyleLbl="sibTrans1D1" presStyleIdx="5" presStyleCnt="15"/>
      <dgm:spPr/>
      <dgm:t>
        <a:bodyPr/>
        <a:lstStyle/>
        <a:p>
          <a:endParaRPr lang="zh-CN" altLang="en-US"/>
        </a:p>
      </dgm:t>
    </dgm:pt>
    <dgm:pt modelId="{261E5DAC-66D8-4608-ACBC-5C5059E598D6}" type="pres">
      <dgm:prSet presAssocID="{6E5BE362-8107-4693-B47F-5BF907FBE927}" presName="node" presStyleLbl="node1" presStyleIdx="6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3E71658E-2453-4C3F-B6DA-50433780A130}" type="pres">
      <dgm:prSet presAssocID="{3AE39323-14ED-465A-B714-C425859B6C17}" presName="sibTrans" presStyleLbl="sibTrans1D1" presStyleIdx="6" presStyleCnt="15"/>
      <dgm:spPr/>
      <dgm:t>
        <a:bodyPr/>
        <a:lstStyle/>
        <a:p>
          <a:endParaRPr lang="zh-CN" altLang="en-US"/>
        </a:p>
      </dgm:t>
    </dgm:pt>
    <dgm:pt modelId="{D4B69682-9E20-4EE2-BBDF-D8F08D36AE72}" type="pres">
      <dgm:prSet presAssocID="{3AE39323-14ED-465A-B714-C425859B6C17}" presName="connectorText" presStyleLbl="sibTrans1D1" presStyleIdx="6" presStyleCnt="15"/>
      <dgm:spPr/>
      <dgm:t>
        <a:bodyPr/>
        <a:lstStyle/>
        <a:p>
          <a:endParaRPr lang="zh-CN" altLang="en-US"/>
        </a:p>
      </dgm:t>
    </dgm:pt>
    <dgm:pt modelId="{F6B6FA49-67E6-4477-8511-7F77762562ED}" type="pres">
      <dgm:prSet presAssocID="{55DDB235-C1EF-4C87-A365-08CFFDF06F53}" presName="node" presStyleLbl="node1" presStyleIdx="7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680EEEE2-977E-4D3E-A20F-13F5782C7E0F}" type="pres">
      <dgm:prSet presAssocID="{86AFBD5B-B291-4676-8751-B6A33792BF5B}" presName="sibTrans" presStyleLbl="sibTrans1D1" presStyleIdx="7" presStyleCnt="15"/>
      <dgm:spPr/>
      <dgm:t>
        <a:bodyPr/>
        <a:lstStyle/>
        <a:p>
          <a:endParaRPr lang="zh-CN" altLang="en-US"/>
        </a:p>
      </dgm:t>
    </dgm:pt>
    <dgm:pt modelId="{55B0BBB5-130D-43CC-A848-78AB9CB6D8C4}" type="pres">
      <dgm:prSet presAssocID="{86AFBD5B-B291-4676-8751-B6A33792BF5B}" presName="connectorText" presStyleLbl="sibTrans1D1" presStyleIdx="7" presStyleCnt="15"/>
      <dgm:spPr/>
      <dgm:t>
        <a:bodyPr/>
        <a:lstStyle/>
        <a:p>
          <a:endParaRPr lang="zh-CN" altLang="en-US"/>
        </a:p>
      </dgm:t>
    </dgm:pt>
    <dgm:pt modelId="{B300CB27-DF56-4466-8DAF-06E44A741F9F}" type="pres">
      <dgm:prSet presAssocID="{A13491DE-FA82-4477-8FA3-32CB3BF72F79}" presName="node" presStyleLbl="node1" presStyleIdx="8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220BDC51-E6BE-4529-97B6-50EA85E19426}" type="pres">
      <dgm:prSet presAssocID="{F6DFA2CD-7585-4955-9416-4C0493F4CFAD}" presName="sibTrans" presStyleLbl="sibTrans1D1" presStyleIdx="8" presStyleCnt="15"/>
      <dgm:spPr/>
      <dgm:t>
        <a:bodyPr/>
        <a:lstStyle/>
        <a:p>
          <a:endParaRPr lang="zh-CN" altLang="en-US"/>
        </a:p>
      </dgm:t>
    </dgm:pt>
    <dgm:pt modelId="{85FBA938-8272-47AC-8FA7-6F62DDC25D24}" type="pres">
      <dgm:prSet presAssocID="{F6DFA2CD-7585-4955-9416-4C0493F4CFAD}" presName="connectorText" presStyleLbl="sibTrans1D1" presStyleIdx="8" presStyleCnt="15"/>
      <dgm:spPr/>
      <dgm:t>
        <a:bodyPr/>
        <a:lstStyle/>
        <a:p>
          <a:endParaRPr lang="zh-CN" altLang="en-US"/>
        </a:p>
      </dgm:t>
    </dgm:pt>
    <dgm:pt modelId="{538F7FB7-3CF8-4F16-BEC6-068265EC0048}" type="pres">
      <dgm:prSet presAssocID="{623ADF43-5D2B-4032-BFDF-3A0CE594839C}" presName="node" presStyleLbl="node1" presStyleIdx="9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BE4274D8-3D5F-46A0-B7F8-13E79869CEAE}" type="pres">
      <dgm:prSet presAssocID="{FFCF0ACE-4B60-416F-B030-C3B692930D75}" presName="sibTrans" presStyleLbl="sibTrans1D1" presStyleIdx="9" presStyleCnt="15"/>
      <dgm:spPr/>
      <dgm:t>
        <a:bodyPr/>
        <a:lstStyle/>
        <a:p>
          <a:endParaRPr lang="zh-CN" altLang="en-US"/>
        </a:p>
      </dgm:t>
    </dgm:pt>
    <dgm:pt modelId="{F0CC50B3-2C7A-4F1D-BFA5-02DF96E7DCDB}" type="pres">
      <dgm:prSet presAssocID="{FFCF0ACE-4B60-416F-B030-C3B692930D75}" presName="connectorText" presStyleLbl="sibTrans1D1" presStyleIdx="9" presStyleCnt="15"/>
      <dgm:spPr/>
      <dgm:t>
        <a:bodyPr/>
        <a:lstStyle/>
        <a:p>
          <a:endParaRPr lang="zh-CN" altLang="en-US"/>
        </a:p>
      </dgm:t>
    </dgm:pt>
    <dgm:pt modelId="{6ABF889D-72FA-40FE-879E-ED0A69DD7DCC}" type="pres">
      <dgm:prSet presAssocID="{A41DABF9-7B3A-4627-8E95-964BF82389DB}" presName="node" presStyleLbl="node1" presStyleIdx="10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8411CD74-D93F-4F0D-B2CA-22D32324B771}" type="pres">
      <dgm:prSet presAssocID="{CEBB7EB7-6380-44D6-A194-E544C30BD819}" presName="sibTrans" presStyleLbl="sibTrans1D1" presStyleIdx="10" presStyleCnt="15"/>
      <dgm:spPr/>
      <dgm:t>
        <a:bodyPr/>
        <a:lstStyle/>
        <a:p>
          <a:endParaRPr lang="zh-CN" altLang="en-US"/>
        </a:p>
      </dgm:t>
    </dgm:pt>
    <dgm:pt modelId="{1771248A-A4B6-42EE-B087-7E465F2BC2C1}" type="pres">
      <dgm:prSet presAssocID="{CEBB7EB7-6380-44D6-A194-E544C30BD819}" presName="connectorText" presStyleLbl="sibTrans1D1" presStyleIdx="10" presStyleCnt="15"/>
      <dgm:spPr/>
      <dgm:t>
        <a:bodyPr/>
        <a:lstStyle/>
        <a:p>
          <a:endParaRPr lang="zh-CN" altLang="en-US"/>
        </a:p>
      </dgm:t>
    </dgm:pt>
    <dgm:pt modelId="{52060CAF-0058-4694-A92A-E9DA2F505588}" type="pres">
      <dgm:prSet presAssocID="{5AE180C1-1512-453F-8F07-A6656C79FDA6}" presName="node" presStyleLbl="node1" presStyleIdx="11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E388C15A-22BA-4C5C-BEBA-D636547D8A35}" type="pres">
      <dgm:prSet presAssocID="{D9CDB408-D9AE-4DDB-88C3-780E57AAC17C}" presName="sibTrans" presStyleLbl="sibTrans1D1" presStyleIdx="11" presStyleCnt="15"/>
      <dgm:spPr/>
      <dgm:t>
        <a:bodyPr/>
        <a:lstStyle/>
        <a:p>
          <a:endParaRPr lang="zh-CN" altLang="en-US"/>
        </a:p>
      </dgm:t>
    </dgm:pt>
    <dgm:pt modelId="{712C1541-6BA8-49B5-AAE8-7C43846DE136}" type="pres">
      <dgm:prSet presAssocID="{D9CDB408-D9AE-4DDB-88C3-780E57AAC17C}" presName="connectorText" presStyleLbl="sibTrans1D1" presStyleIdx="11" presStyleCnt="15"/>
      <dgm:spPr/>
      <dgm:t>
        <a:bodyPr/>
        <a:lstStyle/>
        <a:p>
          <a:endParaRPr lang="zh-CN" altLang="en-US"/>
        </a:p>
      </dgm:t>
    </dgm:pt>
    <dgm:pt modelId="{51BE7D59-70BD-4376-A9A4-7984ADD5BDEE}" type="pres">
      <dgm:prSet presAssocID="{587C91BF-1139-402F-8513-6370B18924C7}" presName="node" presStyleLbl="node1" presStyleIdx="12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ED100F33-3D44-4FD0-A42C-FC13CB49CDFB}" type="pres">
      <dgm:prSet presAssocID="{BC5CF545-A491-4B36-80D5-7722F52D3DA7}" presName="sibTrans" presStyleLbl="sibTrans1D1" presStyleIdx="12" presStyleCnt="15"/>
      <dgm:spPr/>
      <dgm:t>
        <a:bodyPr/>
        <a:lstStyle/>
        <a:p>
          <a:endParaRPr lang="zh-CN" altLang="en-US"/>
        </a:p>
      </dgm:t>
    </dgm:pt>
    <dgm:pt modelId="{C794DDEE-EED1-4E35-952E-F7824CB23AF4}" type="pres">
      <dgm:prSet presAssocID="{BC5CF545-A491-4B36-80D5-7722F52D3DA7}" presName="connectorText" presStyleLbl="sibTrans1D1" presStyleIdx="12" presStyleCnt="15"/>
      <dgm:spPr/>
      <dgm:t>
        <a:bodyPr/>
        <a:lstStyle/>
        <a:p>
          <a:endParaRPr lang="zh-CN" altLang="en-US"/>
        </a:p>
      </dgm:t>
    </dgm:pt>
    <dgm:pt modelId="{EDB1439A-AA67-4D05-8A79-30C6E447590C}" type="pres">
      <dgm:prSet presAssocID="{95ECB8B9-C01B-40CC-BC53-EBA4944C6949}" presName="node" presStyleLbl="node1" presStyleIdx="13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5B838000-182E-4178-98AC-7A0A3DFF826A}" type="pres">
      <dgm:prSet presAssocID="{EED6DF66-0591-4D5F-BDEC-20EBCEFDB5AF}" presName="sibTrans" presStyleLbl="sibTrans1D1" presStyleIdx="13" presStyleCnt="15"/>
      <dgm:spPr/>
      <dgm:t>
        <a:bodyPr/>
        <a:lstStyle/>
        <a:p>
          <a:endParaRPr lang="zh-CN" altLang="en-US"/>
        </a:p>
      </dgm:t>
    </dgm:pt>
    <dgm:pt modelId="{3C1CD501-6ADC-44E0-AD1F-8E07C29F6871}" type="pres">
      <dgm:prSet presAssocID="{EED6DF66-0591-4D5F-BDEC-20EBCEFDB5AF}" presName="connectorText" presStyleLbl="sibTrans1D1" presStyleIdx="13" presStyleCnt="15"/>
      <dgm:spPr/>
      <dgm:t>
        <a:bodyPr/>
        <a:lstStyle/>
        <a:p>
          <a:endParaRPr lang="zh-CN" altLang="en-US"/>
        </a:p>
      </dgm:t>
    </dgm:pt>
    <dgm:pt modelId="{E562CD29-4D7D-429D-B331-57FABCBB4914}" type="pres">
      <dgm:prSet presAssocID="{42BAB0AE-D62F-44C2-82DB-E36930AF2B5C}" presName="node" presStyleLbl="node1" presStyleIdx="14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  <dgm:pt modelId="{3E086F12-A940-4477-96AC-35823F89A5CD}" type="pres">
      <dgm:prSet presAssocID="{0837DB45-CBB1-4983-8262-BEA2EEDCAE6D}" presName="sibTrans" presStyleLbl="sibTrans1D1" presStyleIdx="14" presStyleCnt="15"/>
      <dgm:spPr/>
      <dgm:t>
        <a:bodyPr/>
        <a:lstStyle/>
        <a:p>
          <a:endParaRPr lang="zh-CN" altLang="en-US"/>
        </a:p>
      </dgm:t>
    </dgm:pt>
    <dgm:pt modelId="{DB9D7911-7C8A-4F02-A93C-5EF9FF062916}" type="pres">
      <dgm:prSet presAssocID="{0837DB45-CBB1-4983-8262-BEA2EEDCAE6D}" presName="connectorText" presStyleLbl="sibTrans1D1" presStyleIdx="14" presStyleCnt="15"/>
      <dgm:spPr/>
      <dgm:t>
        <a:bodyPr/>
        <a:lstStyle/>
        <a:p>
          <a:endParaRPr lang="zh-CN" altLang="en-US"/>
        </a:p>
      </dgm:t>
    </dgm:pt>
    <dgm:pt modelId="{3F1FCCFC-2E49-4AAA-A50B-19A73E21B362}" type="pres">
      <dgm:prSet presAssocID="{7D6B6702-D066-49A3-BEB2-CDA8905310A3}" presName="node" presStyleLbl="node1" presStyleIdx="15" presStyleCnt="16">
        <dgm:presLayoutVars>
          <dgm:bulletEnabled val="1"/>
        </dgm:presLayoutVars>
      </dgm:prSet>
      <dgm:spPr/>
      <dgm:t>
        <a:bodyPr/>
        <a:lstStyle/>
        <a:p>
          <a:endParaRPr lang="zh-CN" altLang="en-US"/>
        </a:p>
      </dgm:t>
    </dgm:pt>
  </dgm:ptLst>
  <dgm:cxnLst>
    <dgm:cxn modelId="{2C78FA39-A940-4961-8F1C-C487D3A82BFC}" srcId="{193CC6E1-AC2F-4015-90D1-F06B36F0346B}" destId="{E285CA85-7245-43C5-92C0-09F563D7221A}" srcOrd="3" destOrd="0" parTransId="{4D279D38-2794-4CF9-B5BB-6CB5BE513D0E}" sibTransId="{CE442A1A-AFAD-4BC1-A1E8-DB081110FAAB}"/>
    <dgm:cxn modelId="{F3AA43B8-8653-4F7D-A0A5-EE55FF3721E9}" type="presOf" srcId="{0F3D6D93-D0AF-466D-B69E-4E5121A666AB}" destId="{3F375DB5-9FCD-492A-8792-CFF416634FD3}" srcOrd="0" destOrd="0" presId="urn:microsoft.com/office/officeart/2005/8/layout/bProcess3"/>
    <dgm:cxn modelId="{CC67A0FE-FFDC-4324-BEB0-858CC203FC57}" type="presOf" srcId="{6E5BE362-8107-4693-B47F-5BF907FBE927}" destId="{261E5DAC-66D8-4608-ACBC-5C5059E598D6}" srcOrd="0" destOrd="0" presId="urn:microsoft.com/office/officeart/2005/8/layout/bProcess3"/>
    <dgm:cxn modelId="{82E3EF9B-0E88-49E7-B200-26C0336438F4}" srcId="{193CC6E1-AC2F-4015-90D1-F06B36F0346B}" destId="{A41DABF9-7B3A-4627-8E95-964BF82389DB}" srcOrd="10" destOrd="0" parTransId="{1F0250F2-FCF2-4E32-9015-71C5A0B93B5E}" sibTransId="{CEBB7EB7-6380-44D6-A194-E544C30BD819}"/>
    <dgm:cxn modelId="{44646ADC-6D46-442C-926D-C13EB61FEA53}" srcId="{193CC6E1-AC2F-4015-90D1-F06B36F0346B}" destId="{A13491DE-FA82-4477-8FA3-32CB3BF72F79}" srcOrd="8" destOrd="0" parTransId="{9F4C2924-83BD-441D-A0B0-7D2C6789618E}" sibTransId="{F6DFA2CD-7585-4955-9416-4C0493F4CFAD}"/>
    <dgm:cxn modelId="{9D108506-358E-4154-A07F-D56DD8C74157}" type="presOf" srcId="{CE442A1A-AFAD-4BC1-A1E8-DB081110FAAB}" destId="{E71CFC40-E566-4CAC-B93B-8A98EDADEC34}" srcOrd="0" destOrd="0" presId="urn:microsoft.com/office/officeart/2005/8/layout/bProcess3"/>
    <dgm:cxn modelId="{25C0F7C9-BB07-442C-A53A-99344EC82A84}" type="presOf" srcId="{E285CA85-7245-43C5-92C0-09F563D7221A}" destId="{E1B6F42D-AD2F-483E-85EB-03684F0B1601}" srcOrd="0" destOrd="0" presId="urn:microsoft.com/office/officeart/2005/8/layout/bProcess3"/>
    <dgm:cxn modelId="{B4AFAC85-040D-44C5-9EA5-C3F72376B299}" type="presOf" srcId="{C2805D3A-58FE-4F2C-B484-294B7BE95B90}" destId="{59CEA93D-2AB1-4053-9F68-E969600DBE33}" srcOrd="0" destOrd="0" presId="urn:microsoft.com/office/officeart/2005/8/layout/bProcess3"/>
    <dgm:cxn modelId="{3BBF70FE-B84A-4F51-B764-685DB5155DFD}" type="presOf" srcId="{3AE39323-14ED-465A-B714-C425859B6C17}" destId="{D4B69682-9E20-4EE2-BBDF-D8F08D36AE72}" srcOrd="1" destOrd="0" presId="urn:microsoft.com/office/officeart/2005/8/layout/bProcess3"/>
    <dgm:cxn modelId="{67012B00-8CAA-4145-9A7B-2F3D9513B643}" type="presOf" srcId="{7D6B6702-D066-49A3-BEB2-CDA8905310A3}" destId="{3F1FCCFC-2E49-4AAA-A50B-19A73E21B362}" srcOrd="0" destOrd="0" presId="urn:microsoft.com/office/officeart/2005/8/layout/bProcess3"/>
    <dgm:cxn modelId="{F1D38D17-B639-454D-AC09-1FE82F89AE4D}" type="presOf" srcId="{CEBB7EB7-6380-44D6-A194-E544C30BD819}" destId="{8411CD74-D93F-4F0D-B2CA-22D32324B771}" srcOrd="0" destOrd="0" presId="urn:microsoft.com/office/officeart/2005/8/layout/bProcess3"/>
    <dgm:cxn modelId="{36728D50-F233-4692-A79B-CDBFD7F5C559}" type="presOf" srcId="{61325AF8-F55B-4BE4-AFA3-C546FE7238EF}" destId="{EF3315D1-9306-42F0-9481-1655F47FF87F}" srcOrd="0" destOrd="0" presId="urn:microsoft.com/office/officeart/2005/8/layout/bProcess3"/>
    <dgm:cxn modelId="{EE655BEF-B0E9-45F7-92FC-B89761D151FD}" srcId="{193CC6E1-AC2F-4015-90D1-F06B36F0346B}" destId="{5AE180C1-1512-453F-8F07-A6656C79FDA6}" srcOrd="11" destOrd="0" parTransId="{74C9C58F-01AE-475F-B679-214F6D7A6501}" sibTransId="{D9CDB408-D9AE-4DDB-88C3-780E57AAC17C}"/>
    <dgm:cxn modelId="{249FB64B-D03C-4DA0-A557-1E718C42DF8D}" type="presOf" srcId="{3AE39323-14ED-465A-B714-C425859B6C17}" destId="{3E71658E-2453-4C3F-B6DA-50433780A130}" srcOrd="0" destOrd="0" presId="urn:microsoft.com/office/officeart/2005/8/layout/bProcess3"/>
    <dgm:cxn modelId="{02EE4C43-2083-442C-B296-75F730CAE4B9}" type="presOf" srcId="{F6C69B2A-3D51-4836-A786-9D527825D058}" destId="{03299124-5F09-4DAC-A2B6-07C4DBA9F173}" srcOrd="1" destOrd="0" presId="urn:microsoft.com/office/officeart/2005/8/layout/bProcess3"/>
    <dgm:cxn modelId="{AEDAA39A-1E1F-405E-94E2-3044F593D30D}" type="presOf" srcId="{0D64EBDC-7169-4D65-B7C0-55898900EDB2}" destId="{52300D7E-36BC-4D14-9A10-7BC9E14184BB}" srcOrd="0" destOrd="0" presId="urn:microsoft.com/office/officeart/2005/8/layout/bProcess3"/>
    <dgm:cxn modelId="{80485FB9-DB8C-4DD6-9F1E-6CC6DB40C8E0}" type="presOf" srcId="{0837DB45-CBB1-4983-8262-BEA2EEDCAE6D}" destId="{DB9D7911-7C8A-4F02-A93C-5EF9FF062916}" srcOrd="1" destOrd="0" presId="urn:microsoft.com/office/officeart/2005/8/layout/bProcess3"/>
    <dgm:cxn modelId="{C9DF0EA1-37B5-47DA-8A06-161F7747C2C8}" type="presOf" srcId="{062CB332-F79C-4FD5-9AF1-FAD604FDA8B9}" destId="{894453E4-E476-49FB-B226-B1228D186F7E}" srcOrd="0" destOrd="0" presId="urn:microsoft.com/office/officeart/2005/8/layout/bProcess3"/>
    <dgm:cxn modelId="{AFAB3BF7-0E3B-4C30-BE01-DF8D6E4E0071}" type="presOf" srcId="{55DDB235-C1EF-4C87-A365-08CFFDF06F53}" destId="{F6B6FA49-67E6-4477-8511-7F77762562ED}" srcOrd="0" destOrd="0" presId="urn:microsoft.com/office/officeart/2005/8/layout/bProcess3"/>
    <dgm:cxn modelId="{38640C79-3BE6-497F-8643-ACC319488FFA}" type="presOf" srcId="{86AFBD5B-B291-4676-8751-B6A33792BF5B}" destId="{55B0BBB5-130D-43CC-A848-78AB9CB6D8C4}" srcOrd="1" destOrd="0" presId="urn:microsoft.com/office/officeart/2005/8/layout/bProcess3"/>
    <dgm:cxn modelId="{490715AC-1879-4E64-AC55-188BFE8AAD0F}" type="presOf" srcId="{EED6DF66-0591-4D5F-BDEC-20EBCEFDB5AF}" destId="{3C1CD501-6ADC-44E0-AD1F-8E07C29F6871}" srcOrd="1" destOrd="0" presId="urn:microsoft.com/office/officeart/2005/8/layout/bProcess3"/>
    <dgm:cxn modelId="{7B812EF4-68E8-483D-A3F1-0BE3567A9C08}" srcId="{193CC6E1-AC2F-4015-90D1-F06B36F0346B}" destId="{623ADF43-5D2B-4032-BFDF-3A0CE594839C}" srcOrd="9" destOrd="0" parTransId="{DAE65EA9-4475-4DFC-A2EA-808D2C0C739D}" sibTransId="{FFCF0ACE-4B60-416F-B030-C3B692930D75}"/>
    <dgm:cxn modelId="{D247131B-4E95-44F0-B35A-148F172F27A5}" type="presOf" srcId="{75C505E4-8542-4500-A7BE-127157875F76}" destId="{DA8A44EF-378F-4D40-B8BE-A8A49AD8E622}" srcOrd="0" destOrd="0" presId="urn:microsoft.com/office/officeart/2005/8/layout/bProcess3"/>
    <dgm:cxn modelId="{C606475C-4F66-4F6B-8D43-95116B8F50A1}" type="presOf" srcId="{FFCF0ACE-4B60-416F-B030-C3B692930D75}" destId="{F0CC50B3-2C7A-4F1D-BFA5-02DF96E7DCDB}" srcOrd="1" destOrd="0" presId="urn:microsoft.com/office/officeart/2005/8/layout/bProcess3"/>
    <dgm:cxn modelId="{CE723684-7E97-4850-A7CB-D201782BA654}" type="presOf" srcId="{F6C69B2A-3D51-4836-A786-9D527825D058}" destId="{523F7C94-F97D-47E4-9DB3-BE152323C4E7}" srcOrd="0" destOrd="0" presId="urn:microsoft.com/office/officeart/2005/8/layout/bProcess3"/>
    <dgm:cxn modelId="{62E817A4-5240-4B8A-9FBD-5DAA771DF709}" type="presOf" srcId="{D9CDB408-D9AE-4DDB-88C3-780E57AAC17C}" destId="{712C1541-6BA8-49B5-AAE8-7C43846DE136}" srcOrd="1" destOrd="0" presId="urn:microsoft.com/office/officeart/2005/8/layout/bProcess3"/>
    <dgm:cxn modelId="{84133997-B04B-4089-BCEC-1940DCB2F43E}" srcId="{193CC6E1-AC2F-4015-90D1-F06B36F0346B}" destId="{7D6B6702-D066-49A3-BEB2-CDA8905310A3}" srcOrd="15" destOrd="0" parTransId="{9EBD0933-B5B1-4500-A33C-8067C388089B}" sibTransId="{F7DBB9DB-11A8-4CF3-AB66-7F359DC11DE1}"/>
    <dgm:cxn modelId="{D7483BE0-EF5B-4A57-A710-CBF7384EC6CD}" srcId="{193CC6E1-AC2F-4015-90D1-F06B36F0346B}" destId="{0D64EBDC-7169-4D65-B7C0-55898900EDB2}" srcOrd="2" destOrd="0" parTransId="{B529E21C-5E3B-4242-9ACD-11CBFAB098B6}" sibTransId="{F6C69B2A-3D51-4836-A786-9D527825D058}"/>
    <dgm:cxn modelId="{3E505896-F726-499D-9D22-9923D92BB295}" type="presOf" srcId="{587C91BF-1139-402F-8513-6370B18924C7}" destId="{51BE7D59-70BD-4376-A9A4-7984ADD5BDEE}" srcOrd="0" destOrd="0" presId="urn:microsoft.com/office/officeart/2005/8/layout/bProcess3"/>
    <dgm:cxn modelId="{B2CE2969-987A-4912-BA5C-BDD4C616D800}" type="presOf" srcId="{F6DFA2CD-7585-4955-9416-4C0493F4CFAD}" destId="{220BDC51-E6BE-4529-97B6-50EA85E19426}" srcOrd="0" destOrd="0" presId="urn:microsoft.com/office/officeart/2005/8/layout/bProcess3"/>
    <dgm:cxn modelId="{26A4928E-D7BC-4E52-9B77-5C98832A50F5}" type="presOf" srcId="{82DC0E66-4A3B-4AD5-8FDC-9B9FF05C77DC}" destId="{FDE76AFD-4C45-4145-81EF-7E856C8B95C6}" srcOrd="0" destOrd="0" presId="urn:microsoft.com/office/officeart/2005/8/layout/bProcess3"/>
    <dgm:cxn modelId="{2EBF2787-523A-4AD1-977E-60E30F7CCAA9}" srcId="{193CC6E1-AC2F-4015-90D1-F06B36F0346B}" destId="{82DC0E66-4A3B-4AD5-8FDC-9B9FF05C77DC}" srcOrd="1" destOrd="0" parTransId="{91D09831-82D5-408F-86FF-1440702CFC7E}" sibTransId="{C2805D3A-58FE-4F2C-B484-294B7BE95B90}"/>
    <dgm:cxn modelId="{0B12D45B-F39E-418D-8F5F-0EFE914FB972}" type="presOf" srcId="{86AFBD5B-B291-4676-8751-B6A33792BF5B}" destId="{680EEEE2-977E-4D3E-A20F-13F5782C7E0F}" srcOrd="0" destOrd="0" presId="urn:microsoft.com/office/officeart/2005/8/layout/bProcess3"/>
    <dgm:cxn modelId="{BF891EBE-CACB-4672-B711-81B870BB54AA}" srcId="{193CC6E1-AC2F-4015-90D1-F06B36F0346B}" destId="{ED8B9D06-57B4-43C1-A32D-9E98F9DB7951}" srcOrd="4" destOrd="0" parTransId="{794B565F-8BCC-43E2-9AC8-6F1867038B14}" sibTransId="{062CB332-F79C-4FD5-9AF1-FAD604FDA8B9}"/>
    <dgm:cxn modelId="{D16755DC-3DE2-4D4E-BA01-B68C784B0BB5}" type="presOf" srcId="{FFCF0ACE-4B60-416F-B030-C3B692930D75}" destId="{BE4274D8-3D5F-46A0-B7F8-13E79869CEAE}" srcOrd="0" destOrd="0" presId="urn:microsoft.com/office/officeart/2005/8/layout/bProcess3"/>
    <dgm:cxn modelId="{DF0AA42D-95DC-4BB7-8BCE-DB0613CE4D36}" type="presOf" srcId="{062CB332-F79C-4FD5-9AF1-FAD604FDA8B9}" destId="{32DE662A-A15C-467E-BA42-3C865EFD6D53}" srcOrd="1" destOrd="0" presId="urn:microsoft.com/office/officeart/2005/8/layout/bProcess3"/>
    <dgm:cxn modelId="{59250455-BED5-42A1-844C-58C5F04A6A56}" type="presOf" srcId="{ED8B9D06-57B4-43C1-A32D-9E98F9DB7951}" destId="{4098447B-35FF-4DA6-9D1E-F83E49DBC357}" srcOrd="0" destOrd="0" presId="urn:microsoft.com/office/officeart/2005/8/layout/bProcess3"/>
    <dgm:cxn modelId="{DFF2E04D-E58E-4401-99A6-A5250D22CEDE}" type="presOf" srcId="{A4A355BE-9DA2-4599-A726-9A40A67D1DE1}" destId="{7BB2D09B-9BAF-4086-95B0-456D4F4D9A14}" srcOrd="0" destOrd="0" presId="urn:microsoft.com/office/officeart/2005/8/layout/bProcess3"/>
    <dgm:cxn modelId="{330B1918-D625-4005-91AC-AD2AB34E3E2D}" type="presOf" srcId="{A13491DE-FA82-4477-8FA3-32CB3BF72F79}" destId="{B300CB27-DF56-4466-8DAF-06E44A741F9F}" srcOrd="0" destOrd="0" presId="urn:microsoft.com/office/officeart/2005/8/layout/bProcess3"/>
    <dgm:cxn modelId="{1252260D-25CA-41D2-B4FC-BF618D95A9BA}" type="presOf" srcId="{75C505E4-8542-4500-A7BE-127157875F76}" destId="{488A6D9F-1CBA-4EA3-A1DE-5F2C3591FB2E}" srcOrd="1" destOrd="0" presId="urn:microsoft.com/office/officeart/2005/8/layout/bProcess3"/>
    <dgm:cxn modelId="{78301E2C-FEDF-4BAB-AA1D-373D6E6B50F8}" srcId="{193CC6E1-AC2F-4015-90D1-F06B36F0346B}" destId="{A4A355BE-9DA2-4599-A726-9A40A67D1DE1}" srcOrd="0" destOrd="0" parTransId="{DC8439F3-CFDA-4FA8-8059-6B12A2FC83AC}" sibTransId="{75C505E4-8542-4500-A7BE-127157875F76}"/>
    <dgm:cxn modelId="{0F6EDFC6-2796-4D60-99D8-0B40B9F6F77C}" srcId="{193CC6E1-AC2F-4015-90D1-F06B36F0346B}" destId="{42BAB0AE-D62F-44C2-82DB-E36930AF2B5C}" srcOrd="14" destOrd="0" parTransId="{30E2EFAC-EC02-484D-82FA-3F38E01A308E}" sibTransId="{0837DB45-CBB1-4983-8262-BEA2EEDCAE6D}"/>
    <dgm:cxn modelId="{B60BEE01-B859-4EA7-BEED-65410CA04C48}" type="presOf" srcId="{F6DFA2CD-7585-4955-9416-4C0493F4CFAD}" destId="{85FBA938-8272-47AC-8FA7-6F62DDC25D24}" srcOrd="1" destOrd="0" presId="urn:microsoft.com/office/officeart/2005/8/layout/bProcess3"/>
    <dgm:cxn modelId="{19DB1B30-03DF-40E1-AC39-5090BB6C813D}" type="presOf" srcId="{BC5CF545-A491-4B36-80D5-7722F52D3DA7}" destId="{C794DDEE-EED1-4E35-952E-F7824CB23AF4}" srcOrd="1" destOrd="0" presId="urn:microsoft.com/office/officeart/2005/8/layout/bProcess3"/>
    <dgm:cxn modelId="{F540E3CD-9320-47ED-B7FC-74BF6DFF2E63}" type="presOf" srcId="{42BAB0AE-D62F-44C2-82DB-E36930AF2B5C}" destId="{E562CD29-4D7D-429D-B331-57FABCBB4914}" srcOrd="0" destOrd="0" presId="urn:microsoft.com/office/officeart/2005/8/layout/bProcess3"/>
    <dgm:cxn modelId="{6BED2A61-5568-4319-BAC2-F4AAE225FAA2}" srcId="{193CC6E1-AC2F-4015-90D1-F06B36F0346B}" destId="{0F3D6D93-D0AF-466D-B69E-4E5121A666AB}" srcOrd="5" destOrd="0" parTransId="{4E991B1C-D8B7-4DBB-AE48-7B76268AEE6E}" sibTransId="{61325AF8-F55B-4BE4-AFA3-C546FE7238EF}"/>
    <dgm:cxn modelId="{A47314C3-99A2-4835-869F-41A1E5A1761F}" type="presOf" srcId="{BC5CF545-A491-4B36-80D5-7722F52D3DA7}" destId="{ED100F33-3D44-4FD0-A42C-FC13CB49CDFB}" srcOrd="0" destOrd="0" presId="urn:microsoft.com/office/officeart/2005/8/layout/bProcess3"/>
    <dgm:cxn modelId="{4C162056-991C-4085-BC9B-63E573A69B0F}" type="presOf" srcId="{0837DB45-CBB1-4983-8262-BEA2EEDCAE6D}" destId="{3E086F12-A940-4477-96AC-35823F89A5CD}" srcOrd="0" destOrd="0" presId="urn:microsoft.com/office/officeart/2005/8/layout/bProcess3"/>
    <dgm:cxn modelId="{0A91700F-B743-4DF6-AD07-80562B1B2076}" srcId="{193CC6E1-AC2F-4015-90D1-F06B36F0346B}" destId="{55DDB235-C1EF-4C87-A365-08CFFDF06F53}" srcOrd="7" destOrd="0" parTransId="{771DE0E4-C326-4892-9DF8-0E988CACB1CD}" sibTransId="{86AFBD5B-B291-4676-8751-B6A33792BF5B}"/>
    <dgm:cxn modelId="{497B357A-82B6-4145-B86A-3A17546709BC}" type="presOf" srcId="{61325AF8-F55B-4BE4-AFA3-C546FE7238EF}" destId="{46BBBAB0-DBFD-47CF-82AB-94242D759B8C}" srcOrd="1" destOrd="0" presId="urn:microsoft.com/office/officeart/2005/8/layout/bProcess3"/>
    <dgm:cxn modelId="{BA0E9407-9868-456D-A3BB-30A856763492}" srcId="{193CC6E1-AC2F-4015-90D1-F06B36F0346B}" destId="{6E5BE362-8107-4693-B47F-5BF907FBE927}" srcOrd="6" destOrd="0" parTransId="{6F7CBFB6-B895-49A2-A1C8-758038B6AD08}" sibTransId="{3AE39323-14ED-465A-B714-C425859B6C17}"/>
    <dgm:cxn modelId="{4FEC2510-9769-49AC-AC42-761E915D22C9}" type="presOf" srcId="{193CC6E1-AC2F-4015-90D1-F06B36F0346B}" destId="{4E6FD67C-023A-43D8-B105-DE9FBEC04A52}" srcOrd="0" destOrd="0" presId="urn:microsoft.com/office/officeart/2005/8/layout/bProcess3"/>
    <dgm:cxn modelId="{9E6B7BAE-26E0-4B03-AA1F-7BEBDC69B4C1}" type="presOf" srcId="{A41DABF9-7B3A-4627-8E95-964BF82389DB}" destId="{6ABF889D-72FA-40FE-879E-ED0A69DD7DCC}" srcOrd="0" destOrd="0" presId="urn:microsoft.com/office/officeart/2005/8/layout/bProcess3"/>
    <dgm:cxn modelId="{0DD28D8D-5B43-4A2C-BB50-0BA78FCD0762}" srcId="{193CC6E1-AC2F-4015-90D1-F06B36F0346B}" destId="{95ECB8B9-C01B-40CC-BC53-EBA4944C6949}" srcOrd="13" destOrd="0" parTransId="{2817E2B9-0A0E-4067-BC83-E80EED29DB4E}" sibTransId="{EED6DF66-0591-4D5F-BDEC-20EBCEFDB5AF}"/>
    <dgm:cxn modelId="{62ED016D-98AA-4DCC-ACCE-CEB18519A456}" type="presOf" srcId="{EED6DF66-0591-4D5F-BDEC-20EBCEFDB5AF}" destId="{5B838000-182E-4178-98AC-7A0A3DFF826A}" srcOrd="0" destOrd="0" presId="urn:microsoft.com/office/officeart/2005/8/layout/bProcess3"/>
    <dgm:cxn modelId="{1195B1B1-C24E-49E8-99CC-76799B5C41A8}" type="presOf" srcId="{CEBB7EB7-6380-44D6-A194-E544C30BD819}" destId="{1771248A-A4B6-42EE-B087-7E465F2BC2C1}" srcOrd="1" destOrd="0" presId="urn:microsoft.com/office/officeart/2005/8/layout/bProcess3"/>
    <dgm:cxn modelId="{C300D134-E7D9-41B8-809E-A35B844E127A}" type="presOf" srcId="{D9CDB408-D9AE-4DDB-88C3-780E57AAC17C}" destId="{E388C15A-22BA-4C5C-BEBA-D636547D8A35}" srcOrd="0" destOrd="0" presId="urn:microsoft.com/office/officeart/2005/8/layout/bProcess3"/>
    <dgm:cxn modelId="{D85AC52E-D9EF-47DD-850D-3EDF68D4D67A}" type="presOf" srcId="{5AE180C1-1512-453F-8F07-A6656C79FDA6}" destId="{52060CAF-0058-4694-A92A-E9DA2F505588}" srcOrd="0" destOrd="0" presId="urn:microsoft.com/office/officeart/2005/8/layout/bProcess3"/>
    <dgm:cxn modelId="{7A856A70-59BD-4FC8-9DBE-94D7CE706280}" type="presOf" srcId="{CE442A1A-AFAD-4BC1-A1E8-DB081110FAAB}" destId="{451B64D3-B0D7-4D18-BD34-A01D78A8D57A}" srcOrd="1" destOrd="0" presId="urn:microsoft.com/office/officeart/2005/8/layout/bProcess3"/>
    <dgm:cxn modelId="{64C617B6-7627-44B4-884D-41142026D589}" srcId="{193CC6E1-AC2F-4015-90D1-F06B36F0346B}" destId="{587C91BF-1139-402F-8513-6370B18924C7}" srcOrd="12" destOrd="0" parTransId="{4435C8B8-EC7F-4114-A08B-A4F35A445880}" sibTransId="{BC5CF545-A491-4B36-80D5-7722F52D3DA7}"/>
    <dgm:cxn modelId="{F87531D0-E2AB-4EDB-A7F5-47BFBDE00983}" type="presOf" srcId="{95ECB8B9-C01B-40CC-BC53-EBA4944C6949}" destId="{EDB1439A-AA67-4D05-8A79-30C6E447590C}" srcOrd="0" destOrd="0" presId="urn:microsoft.com/office/officeart/2005/8/layout/bProcess3"/>
    <dgm:cxn modelId="{C45C4DED-824C-468A-8DC8-19095C1FF3F9}" type="presOf" srcId="{C2805D3A-58FE-4F2C-B484-294B7BE95B90}" destId="{205C1609-261C-42CC-816C-29AA5216F88A}" srcOrd="1" destOrd="0" presId="urn:microsoft.com/office/officeart/2005/8/layout/bProcess3"/>
    <dgm:cxn modelId="{2FA0C094-DDB7-48CB-ACAF-52255E87C00E}" type="presOf" srcId="{623ADF43-5D2B-4032-BFDF-3A0CE594839C}" destId="{538F7FB7-3CF8-4F16-BEC6-068265EC0048}" srcOrd="0" destOrd="0" presId="urn:microsoft.com/office/officeart/2005/8/layout/bProcess3"/>
    <dgm:cxn modelId="{CCFFF755-22BF-49BF-84B9-CE8D6C04390A}" type="presParOf" srcId="{4E6FD67C-023A-43D8-B105-DE9FBEC04A52}" destId="{7BB2D09B-9BAF-4086-95B0-456D4F4D9A14}" srcOrd="0" destOrd="0" presId="urn:microsoft.com/office/officeart/2005/8/layout/bProcess3"/>
    <dgm:cxn modelId="{E4B79F5F-1AA0-4CF6-A3AB-7C946BF6F63A}" type="presParOf" srcId="{4E6FD67C-023A-43D8-B105-DE9FBEC04A52}" destId="{DA8A44EF-378F-4D40-B8BE-A8A49AD8E622}" srcOrd="1" destOrd="0" presId="urn:microsoft.com/office/officeart/2005/8/layout/bProcess3"/>
    <dgm:cxn modelId="{C263551F-F5C2-4438-8D1B-BF446C7FA048}" type="presParOf" srcId="{DA8A44EF-378F-4D40-B8BE-A8A49AD8E622}" destId="{488A6D9F-1CBA-4EA3-A1DE-5F2C3591FB2E}" srcOrd="0" destOrd="0" presId="urn:microsoft.com/office/officeart/2005/8/layout/bProcess3"/>
    <dgm:cxn modelId="{DE0E62EA-ABAF-4B29-810C-D45A4AE05567}" type="presParOf" srcId="{4E6FD67C-023A-43D8-B105-DE9FBEC04A52}" destId="{FDE76AFD-4C45-4145-81EF-7E856C8B95C6}" srcOrd="2" destOrd="0" presId="urn:microsoft.com/office/officeart/2005/8/layout/bProcess3"/>
    <dgm:cxn modelId="{B075D273-127B-4456-93DF-FBA049E22AF9}" type="presParOf" srcId="{4E6FD67C-023A-43D8-B105-DE9FBEC04A52}" destId="{59CEA93D-2AB1-4053-9F68-E969600DBE33}" srcOrd="3" destOrd="0" presId="urn:microsoft.com/office/officeart/2005/8/layout/bProcess3"/>
    <dgm:cxn modelId="{411F89F5-6F80-4CF2-A2E9-6B70D5E45025}" type="presParOf" srcId="{59CEA93D-2AB1-4053-9F68-E969600DBE33}" destId="{205C1609-261C-42CC-816C-29AA5216F88A}" srcOrd="0" destOrd="0" presId="urn:microsoft.com/office/officeart/2005/8/layout/bProcess3"/>
    <dgm:cxn modelId="{AAC3F3D7-7FF3-4C41-A815-0239606B039D}" type="presParOf" srcId="{4E6FD67C-023A-43D8-B105-DE9FBEC04A52}" destId="{52300D7E-36BC-4D14-9A10-7BC9E14184BB}" srcOrd="4" destOrd="0" presId="urn:microsoft.com/office/officeart/2005/8/layout/bProcess3"/>
    <dgm:cxn modelId="{2C40F95B-A584-42FD-8760-9FC741A39883}" type="presParOf" srcId="{4E6FD67C-023A-43D8-B105-DE9FBEC04A52}" destId="{523F7C94-F97D-47E4-9DB3-BE152323C4E7}" srcOrd="5" destOrd="0" presId="urn:microsoft.com/office/officeart/2005/8/layout/bProcess3"/>
    <dgm:cxn modelId="{ADC86DE8-D414-4448-9131-A2478B245196}" type="presParOf" srcId="{523F7C94-F97D-47E4-9DB3-BE152323C4E7}" destId="{03299124-5F09-4DAC-A2B6-07C4DBA9F173}" srcOrd="0" destOrd="0" presId="urn:microsoft.com/office/officeart/2005/8/layout/bProcess3"/>
    <dgm:cxn modelId="{9B988FDE-1D8C-4A53-B498-79828F442123}" type="presParOf" srcId="{4E6FD67C-023A-43D8-B105-DE9FBEC04A52}" destId="{E1B6F42D-AD2F-483E-85EB-03684F0B1601}" srcOrd="6" destOrd="0" presId="urn:microsoft.com/office/officeart/2005/8/layout/bProcess3"/>
    <dgm:cxn modelId="{61A81202-1E71-43E8-A774-7D9F976BD4F5}" type="presParOf" srcId="{4E6FD67C-023A-43D8-B105-DE9FBEC04A52}" destId="{E71CFC40-E566-4CAC-B93B-8A98EDADEC34}" srcOrd="7" destOrd="0" presId="urn:microsoft.com/office/officeart/2005/8/layout/bProcess3"/>
    <dgm:cxn modelId="{E985ADCA-DFB2-413A-9497-5CB82B3D05A8}" type="presParOf" srcId="{E71CFC40-E566-4CAC-B93B-8A98EDADEC34}" destId="{451B64D3-B0D7-4D18-BD34-A01D78A8D57A}" srcOrd="0" destOrd="0" presId="urn:microsoft.com/office/officeart/2005/8/layout/bProcess3"/>
    <dgm:cxn modelId="{DB0B5601-D72B-434F-8B06-33C75128332E}" type="presParOf" srcId="{4E6FD67C-023A-43D8-B105-DE9FBEC04A52}" destId="{4098447B-35FF-4DA6-9D1E-F83E49DBC357}" srcOrd="8" destOrd="0" presId="urn:microsoft.com/office/officeart/2005/8/layout/bProcess3"/>
    <dgm:cxn modelId="{A324FD74-517E-4483-8EA8-8DAABB17CC33}" type="presParOf" srcId="{4E6FD67C-023A-43D8-B105-DE9FBEC04A52}" destId="{894453E4-E476-49FB-B226-B1228D186F7E}" srcOrd="9" destOrd="0" presId="urn:microsoft.com/office/officeart/2005/8/layout/bProcess3"/>
    <dgm:cxn modelId="{83EAE9C2-1AFB-47B8-A7C3-994FD9EE51AA}" type="presParOf" srcId="{894453E4-E476-49FB-B226-B1228D186F7E}" destId="{32DE662A-A15C-467E-BA42-3C865EFD6D53}" srcOrd="0" destOrd="0" presId="urn:microsoft.com/office/officeart/2005/8/layout/bProcess3"/>
    <dgm:cxn modelId="{DCDC5F44-7051-41CA-AD16-BA47095419D9}" type="presParOf" srcId="{4E6FD67C-023A-43D8-B105-DE9FBEC04A52}" destId="{3F375DB5-9FCD-492A-8792-CFF416634FD3}" srcOrd="10" destOrd="0" presId="urn:microsoft.com/office/officeart/2005/8/layout/bProcess3"/>
    <dgm:cxn modelId="{E0645CF9-C4DF-47F8-BD88-BCA4EBE0303B}" type="presParOf" srcId="{4E6FD67C-023A-43D8-B105-DE9FBEC04A52}" destId="{EF3315D1-9306-42F0-9481-1655F47FF87F}" srcOrd="11" destOrd="0" presId="urn:microsoft.com/office/officeart/2005/8/layout/bProcess3"/>
    <dgm:cxn modelId="{5B1C52D4-8127-46FF-9D43-EC6E58B4FBFF}" type="presParOf" srcId="{EF3315D1-9306-42F0-9481-1655F47FF87F}" destId="{46BBBAB0-DBFD-47CF-82AB-94242D759B8C}" srcOrd="0" destOrd="0" presId="urn:microsoft.com/office/officeart/2005/8/layout/bProcess3"/>
    <dgm:cxn modelId="{0DFFD710-449C-4EF9-B701-597823039994}" type="presParOf" srcId="{4E6FD67C-023A-43D8-B105-DE9FBEC04A52}" destId="{261E5DAC-66D8-4608-ACBC-5C5059E598D6}" srcOrd="12" destOrd="0" presId="urn:microsoft.com/office/officeart/2005/8/layout/bProcess3"/>
    <dgm:cxn modelId="{2229EAF4-3344-410C-8170-CF9F153D8851}" type="presParOf" srcId="{4E6FD67C-023A-43D8-B105-DE9FBEC04A52}" destId="{3E71658E-2453-4C3F-B6DA-50433780A130}" srcOrd="13" destOrd="0" presId="urn:microsoft.com/office/officeart/2005/8/layout/bProcess3"/>
    <dgm:cxn modelId="{E5228F91-A34A-449E-9FE5-5FFE167460FD}" type="presParOf" srcId="{3E71658E-2453-4C3F-B6DA-50433780A130}" destId="{D4B69682-9E20-4EE2-BBDF-D8F08D36AE72}" srcOrd="0" destOrd="0" presId="urn:microsoft.com/office/officeart/2005/8/layout/bProcess3"/>
    <dgm:cxn modelId="{52349F87-89C2-4EBB-9D8A-D513ABB41CF2}" type="presParOf" srcId="{4E6FD67C-023A-43D8-B105-DE9FBEC04A52}" destId="{F6B6FA49-67E6-4477-8511-7F77762562ED}" srcOrd="14" destOrd="0" presId="urn:microsoft.com/office/officeart/2005/8/layout/bProcess3"/>
    <dgm:cxn modelId="{CF32F307-686E-4D73-98EB-2462A27C755F}" type="presParOf" srcId="{4E6FD67C-023A-43D8-B105-DE9FBEC04A52}" destId="{680EEEE2-977E-4D3E-A20F-13F5782C7E0F}" srcOrd="15" destOrd="0" presId="urn:microsoft.com/office/officeart/2005/8/layout/bProcess3"/>
    <dgm:cxn modelId="{E63DFB69-247A-4F63-A9CD-DAEBBA8F79EC}" type="presParOf" srcId="{680EEEE2-977E-4D3E-A20F-13F5782C7E0F}" destId="{55B0BBB5-130D-43CC-A848-78AB9CB6D8C4}" srcOrd="0" destOrd="0" presId="urn:microsoft.com/office/officeart/2005/8/layout/bProcess3"/>
    <dgm:cxn modelId="{8088BEEB-2D3F-4D09-8CDA-C98E4F837D03}" type="presParOf" srcId="{4E6FD67C-023A-43D8-B105-DE9FBEC04A52}" destId="{B300CB27-DF56-4466-8DAF-06E44A741F9F}" srcOrd="16" destOrd="0" presId="urn:microsoft.com/office/officeart/2005/8/layout/bProcess3"/>
    <dgm:cxn modelId="{33D467E3-BDE8-443B-A699-EA1A0D6B070D}" type="presParOf" srcId="{4E6FD67C-023A-43D8-B105-DE9FBEC04A52}" destId="{220BDC51-E6BE-4529-97B6-50EA85E19426}" srcOrd="17" destOrd="0" presId="urn:microsoft.com/office/officeart/2005/8/layout/bProcess3"/>
    <dgm:cxn modelId="{3D16E221-39F3-46A1-A806-4BEF68E6C1FF}" type="presParOf" srcId="{220BDC51-E6BE-4529-97B6-50EA85E19426}" destId="{85FBA938-8272-47AC-8FA7-6F62DDC25D24}" srcOrd="0" destOrd="0" presId="urn:microsoft.com/office/officeart/2005/8/layout/bProcess3"/>
    <dgm:cxn modelId="{18E2C2D8-D87F-4F89-A7F9-DF93E27D3FDB}" type="presParOf" srcId="{4E6FD67C-023A-43D8-B105-DE9FBEC04A52}" destId="{538F7FB7-3CF8-4F16-BEC6-068265EC0048}" srcOrd="18" destOrd="0" presId="urn:microsoft.com/office/officeart/2005/8/layout/bProcess3"/>
    <dgm:cxn modelId="{00FD99D4-B9BD-44D7-965B-62049C2D18F2}" type="presParOf" srcId="{4E6FD67C-023A-43D8-B105-DE9FBEC04A52}" destId="{BE4274D8-3D5F-46A0-B7F8-13E79869CEAE}" srcOrd="19" destOrd="0" presId="urn:microsoft.com/office/officeart/2005/8/layout/bProcess3"/>
    <dgm:cxn modelId="{68023090-8BAC-4D46-84CD-D16A79C171CC}" type="presParOf" srcId="{BE4274D8-3D5F-46A0-B7F8-13E79869CEAE}" destId="{F0CC50B3-2C7A-4F1D-BFA5-02DF96E7DCDB}" srcOrd="0" destOrd="0" presId="urn:microsoft.com/office/officeart/2005/8/layout/bProcess3"/>
    <dgm:cxn modelId="{D9F6DCE2-886F-4933-95AD-40C543F1A57A}" type="presParOf" srcId="{4E6FD67C-023A-43D8-B105-DE9FBEC04A52}" destId="{6ABF889D-72FA-40FE-879E-ED0A69DD7DCC}" srcOrd="20" destOrd="0" presId="urn:microsoft.com/office/officeart/2005/8/layout/bProcess3"/>
    <dgm:cxn modelId="{A31A5F2B-56BC-45DE-8C4A-9442E11E65EB}" type="presParOf" srcId="{4E6FD67C-023A-43D8-B105-DE9FBEC04A52}" destId="{8411CD74-D93F-4F0D-B2CA-22D32324B771}" srcOrd="21" destOrd="0" presId="urn:microsoft.com/office/officeart/2005/8/layout/bProcess3"/>
    <dgm:cxn modelId="{029C0E95-D48B-4E1B-94CD-F03C75F2F214}" type="presParOf" srcId="{8411CD74-D93F-4F0D-B2CA-22D32324B771}" destId="{1771248A-A4B6-42EE-B087-7E465F2BC2C1}" srcOrd="0" destOrd="0" presId="urn:microsoft.com/office/officeart/2005/8/layout/bProcess3"/>
    <dgm:cxn modelId="{10090A3E-3C94-4136-B5CA-3215C87F5B05}" type="presParOf" srcId="{4E6FD67C-023A-43D8-B105-DE9FBEC04A52}" destId="{52060CAF-0058-4694-A92A-E9DA2F505588}" srcOrd="22" destOrd="0" presId="urn:microsoft.com/office/officeart/2005/8/layout/bProcess3"/>
    <dgm:cxn modelId="{22FBE9FD-4F3C-405A-A18D-F5B3E4FBEFA8}" type="presParOf" srcId="{4E6FD67C-023A-43D8-B105-DE9FBEC04A52}" destId="{E388C15A-22BA-4C5C-BEBA-D636547D8A35}" srcOrd="23" destOrd="0" presId="urn:microsoft.com/office/officeart/2005/8/layout/bProcess3"/>
    <dgm:cxn modelId="{AF0B0110-E2F4-41A8-BE59-4F9BBEF02DD9}" type="presParOf" srcId="{E388C15A-22BA-4C5C-BEBA-D636547D8A35}" destId="{712C1541-6BA8-49B5-AAE8-7C43846DE136}" srcOrd="0" destOrd="0" presId="urn:microsoft.com/office/officeart/2005/8/layout/bProcess3"/>
    <dgm:cxn modelId="{D12A200B-DF42-4945-9EF6-1C2DDD2624EB}" type="presParOf" srcId="{4E6FD67C-023A-43D8-B105-DE9FBEC04A52}" destId="{51BE7D59-70BD-4376-A9A4-7984ADD5BDEE}" srcOrd="24" destOrd="0" presId="urn:microsoft.com/office/officeart/2005/8/layout/bProcess3"/>
    <dgm:cxn modelId="{BF089FEC-3963-4E98-993A-FAC0E07DAC2A}" type="presParOf" srcId="{4E6FD67C-023A-43D8-B105-DE9FBEC04A52}" destId="{ED100F33-3D44-4FD0-A42C-FC13CB49CDFB}" srcOrd="25" destOrd="0" presId="urn:microsoft.com/office/officeart/2005/8/layout/bProcess3"/>
    <dgm:cxn modelId="{66F74882-E84C-4A7F-9F2C-1ACD935F37A3}" type="presParOf" srcId="{ED100F33-3D44-4FD0-A42C-FC13CB49CDFB}" destId="{C794DDEE-EED1-4E35-952E-F7824CB23AF4}" srcOrd="0" destOrd="0" presId="urn:microsoft.com/office/officeart/2005/8/layout/bProcess3"/>
    <dgm:cxn modelId="{8C8AE6CE-C01C-4705-8451-21D53DB7C3A1}" type="presParOf" srcId="{4E6FD67C-023A-43D8-B105-DE9FBEC04A52}" destId="{EDB1439A-AA67-4D05-8A79-30C6E447590C}" srcOrd="26" destOrd="0" presId="urn:microsoft.com/office/officeart/2005/8/layout/bProcess3"/>
    <dgm:cxn modelId="{B6C1BC8C-36F3-4616-B2D6-CE2097B3EB97}" type="presParOf" srcId="{4E6FD67C-023A-43D8-B105-DE9FBEC04A52}" destId="{5B838000-182E-4178-98AC-7A0A3DFF826A}" srcOrd="27" destOrd="0" presId="urn:microsoft.com/office/officeart/2005/8/layout/bProcess3"/>
    <dgm:cxn modelId="{EDF23230-7FED-421D-9A75-602BA39D977E}" type="presParOf" srcId="{5B838000-182E-4178-98AC-7A0A3DFF826A}" destId="{3C1CD501-6ADC-44E0-AD1F-8E07C29F6871}" srcOrd="0" destOrd="0" presId="urn:microsoft.com/office/officeart/2005/8/layout/bProcess3"/>
    <dgm:cxn modelId="{15373EE4-FC1C-435E-B7B1-3DB2AC02916D}" type="presParOf" srcId="{4E6FD67C-023A-43D8-B105-DE9FBEC04A52}" destId="{E562CD29-4D7D-429D-B331-57FABCBB4914}" srcOrd="28" destOrd="0" presId="urn:microsoft.com/office/officeart/2005/8/layout/bProcess3"/>
    <dgm:cxn modelId="{23F0B781-1155-48DD-B0C1-808A19F23E37}" type="presParOf" srcId="{4E6FD67C-023A-43D8-B105-DE9FBEC04A52}" destId="{3E086F12-A940-4477-96AC-35823F89A5CD}" srcOrd="29" destOrd="0" presId="urn:microsoft.com/office/officeart/2005/8/layout/bProcess3"/>
    <dgm:cxn modelId="{3F9804E2-A461-427B-AE1E-0D8E9C520351}" type="presParOf" srcId="{3E086F12-A940-4477-96AC-35823F89A5CD}" destId="{DB9D7911-7C8A-4F02-A93C-5EF9FF062916}" srcOrd="0" destOrd="0" presId="urn:microsoft.com/office/officeart/2005/8/layout/bProcess3"/>
    <dgm:cxn modelId="{07B0CBB4-A5EB-49E0-BC31-B823E22AC642}" type="presParOf" srcId="{4E6FD67C-023A-43D8-B105-DE9FBEC04A52}" destId="{3F1FCCFC-2E49-4AAA-A50B-19A73E21B362}" srcOrd="30" destOrd="0" presId="urn:microsoft.com/office/officeart/2005/8/layout/bProcess3"/>
  </dgm:cxnLst>
  <dgm:bg/>
  <dgm:whole/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 xmlns:r="http://schemas.openxmlformats.org/officeDocument/2006/relationships">
  <dsp:spTree>
    <dsp:nvGrpSpPr>
      <dsp:cNvPr id="2" name="组合 1"/>
      <dsp:cNvGrpSpPr/>
    </dsp:nvGrpSpPr>
    <dsp:grpSpPr>
      <a:xfrm>
        <a:off x="0" y="0"/>
        <a:ext cx="8306435" cy="3209925"/>
        <a:chOff x="0" y="0"/>
        <a:chExt cx="8306435" cy="3209925"/>
      </a:xfrm>
    </dsp:grpSpPr>
    <dsp:sp modelId="{DA8A44EF-378F-4D40-B8BE-A8A49AD8E622}">
      <dsp:nvSpPr>
        <dsp:cNvPr id="4" name="任意多边形 3"/>
        <dsp:cNvSpPr/>
      </dsp:nvSpPr>
      <dsp:spPr bwMode="white">
        <a:xfrm>
          <a:off x="1170323" y="641246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2"/>
        </a:lnRef>
        <a:fillRef idx="0">
          <a:schemeClr val="accent2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1170323" y="641246"/>
        <a:ext cx="267728" cy="0"/>
      </dsp:txXfrm>
    </dsp:sp>
    <dsp:sp modelId="{7BB2D09B-9BAF-4086-95B0-456D4F4D9A14}">
      <dsp:nvSpPr>
        <dsp:cNvPr id="3" name="矩形 2"/>
        <dsp:cNvSpPr/>
      </dsp:nvSpPr>
      <dsp:spPr bwMode="white">
        <a:xfrm>
          <a:off x="6287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2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项目主要参数与财务指标汇总表</a:t>
          </a:r>
        </a:p>
      </dsp:txBody>
      <dsp:txXfrm>
        <a:off x="6287" y="292035"/>
        <a:ext cx="1164037" cy="698422"/>
      </dsp:txXfrm>
    </dsp:sp>
    <dsp:sp modelId="{59CEA93D-2AB1-4053-9F68-E969600DBE33}">
      <dsp:nvSpPr>
        <dsp:cNvPr id="6" name="任意多边形 5"/>
        <dsp:cNvSpPr/>
      </dsp:nvSpPr>
      <dsp:spPr bwMode="white">
        <a:xfrm>
          <a:off x="2602088" y="641246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3"/>
        </a:lnRef>
        <a:fillRef idx="0">
          <a:schemeClr val="accent3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2602088" y="641246"/>
        <a:ext cx="267728" cy="0"/>
      </dsp:txXfrm>
    </dsp:sp>
    <dsp:sp modelId="{FDE76AFD-4C45-4145-81EF-7E856C8B95C6}">
      <dsp:nvSpPr>
        <dsp:cNvPr id="5" name="矩形 4"/>
        <dsp:cNvSpPr/>
      </dsp:nvSpPr>
      <dsp:spPr bwMode="white">
        <a:xfrm>
          <a:off x="1438052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3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项目建设投资估算表</a:t>
          </a:r>
        </a:p>
      </dsp:txBody>
      <dsp:txXfrm>
        <a:off x="1438052" y="292035"/>
        <a:ext cx="1164037" cy="698422"/>
      </dsp:txXfrm>
    </dsp:sp>
    <dsp:sp modelId="{523F7C94-F97D-47E4-9DB3-BE152323C4E7}">
      <dsp:nvSpPr>
        <dsp:cNvPr id="8" name="任意多边形 7"/>
        <dsp:cNvSpPr/>
      </dsp:nvSpPr>
      <dsp:spPr bwMode="white">
        <a:xfrm>
          <a:off x="4033853" y="641246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4"/>
        </a:lnRef>
        <a:fillRef idx="0">
          <a:schemeClr val="accent4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4033853" y="641246"/>
        <a:ext cx="267728" cy="0"/>
      </dsp:txXfrm>
    </dsp:sp>
    <dsp:sp modelId="{52300D7E-36BC-4D14-9A10-7BC9E14184BB}">
      <dsp:nvSpPr>
        <dsp:cNvPr id="7" name="矩形 6"/>
        <dsp:cNvSpPr/>
      </dsp:nvSpPr>
      <dsp:spPr bwMode="white">
        <a:xfrm>
          <a:off x="2869817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4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项目投资使用计划</a:t>
          </a:r>
        </a:p>
      </dsp:txBody>
      <dsp:txXfrm>
        <a:off x="2869817" y="292035"/>
        <a:ext cx="1164037" cy="698422"/>
      </dsp:txXfrm>
    </dsp:sp>
    <dsp:sp modelId="{E71CFC40-E566-4CAC-B93B-8A98EDADEC34}">
      <dsp:nvSpPr>
        <dsp:cNvPr id="10" name="任意多边形 9"/>
        <dsp:cNvSpPr/>
      </dsp:nvSpPr>
      <dsp:spPr bwMode="white">
        <a:xfrm>
          <a:off x="5465618" y="641246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5"/>
        </a:lnRef>
        <a:fillRef idx="0">
          <a:schemeClr val="accent5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5465618" y="641246"/>
        <a:ext cx="267728" cy="0"/>
      </dsp:txXfrm>
    </dsp:sp>
    <dsp:sp modelId="{E1B6F42D-AD2F-483E-85EB-03684F0B1601}">
      <dsp:nvSpPr>
        <dsp:cNvPr id="9" name="矩形 8"/>
        <dsp:cNvSpPr/>
      </dsp:nvSpPr>
      <dsp:spPr bwMode="white">
        <a:xfrm>
          <a:off x="4301581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5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销售收入计算表</a:t>
          </a:r>
        </a:p>
      </dsp:txBody>
      <dsp:txXfrm>
        <a:off x="4301581" y="292035"/>
        <a:ext cx="1164037" cy="698422"/>
      </dsp:txXfrm>
    </dsp:sp>
    <dsp:sp modelId="{894453E4-E476-49FB-B226-B1228D186F7E}">
      <dsp:nvSpPr>
        <dsp:cNvPr id="12" name="任意多边形 11"/>
        <dsp:cNvSpPr/>
      </dsp:nvSpPr>
      <dsp:spPr bwMode="white">
        <a:xfrm>
          <a:off x="6897383" y="641246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6"/>
        </a:lnRef>
        <a:fillRef idx="0">
          <a:schemeClr val="accent6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6897383" y="641246"/>
        <a:ext cx="267728" cy="0"/>
      </dsp:txXfrm>
    </dsp:sp>
    <dsp:sp modelId="{4098447B-35FF-4DA6-9D1E-F83E49DBC357}">
      <dsp:nvSpPr>
        <dsp:cNvPr id="11" name="矩形 10"/>
        <dsp:cNvSpPr/>
      </dsp:nvSpPr>
      <dsp:spPr bwMode="white">
        <a:xfrm>
          <a:off x="5733346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6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经营成本计算表</a:t>
          </a:r>
        </a:p>
      </dsp:txBody>
      <dsp:txXfrm>
        <a:off x="5733346" y="292035"/>
        <a:ext cx="1164037" cy="698422"/>
      </dsp:txXfrm>
    </dsp:sp>
    <dsp:sp modelId="{EF3315D1-9306-42F0-9481-1655F47FF87F}">
      <dsp:nvSpPr>
        <dsp:cNvPr id="14" name="任意多边形 13"/>
        <dsp:cNvSpPr/>
      </dsp:nvSpPr>
      <dsp:spPr bwMode="white">
        <a:xfrm>
          <a:off x="588305" y="990457"/>
          <a:ext cx="7158825" cy="265295"/>
        </a:xfrm>
        <a:custGeom>
          <a:avLst/>
          <a:gdLst/>
          <a:ahLst/>
          <a:cxnLst/>
          <a:pathLst>
            <a:path w="11274" h="418">
              <a:moveTo>
                <a:pt x="11274" y="0"/>
              </a:moveTo>
              <a:lnTo>
                <a:pt x="11274" y="209"/>
              </a:lnTo>
              <a:lnTo>
                <a:pt x="0" y="209"/>
              </a:lnTo>
              <a:lnTo>
                <a:pt x="0" y="418"/>
              </a:lnTo>
            </a:path>
          </a:pathLst>
        </a:custGeom>
        <a:ln>
          <a:tailEnd type="arrow" w="lg" len="med"/>
        </a:ln>
      </dsp:spPr>
      <dsp:style>
        <a:lnRef idx="1">
          <a:schemeClr val="accent2"/>
        </a:lnRef>
        <a:fillRef idx="0">
          <a:schemeClr val="accent2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1700"/>
          </a:lvl1pPr>
          <a:lvl2pPr marL="114300" indent="-114300" algn="ctr">
            <a:defRPr sz="1300"/>
          </a:lvl2pPr>
          <a:lvl3pPr marL="228600" indent="-114300" algn="ctr">
            <a:defRPr sz="1300"/>
          </a:lvl3pPr>
          <a:lvl4pPr marL="342900" indent="-114300" algn="ctr">
            <a:defRPr sz="1300"/>
          </a:lvl4pPr>
          <a:lvl5pPr marL="457200" indent="-114300" algn="ctr">
            <a:defRPr sz="1300"/>
          </a:lvl5pPr>
          <a:lvl6pPr marL="571500" indent="-114300" algn="ctr">
            <a:defRPr sz="1300"/>
          </a:lvl6pPr>
          <a:lvl7pPr marL="685800" indent="-114300" algn="ctr">
            <a:defRPr sz="1300"/>
          </a:lvl7pPr>
          <a:lvl8pPr marL="800100" indent="-114300" algn="ctr">
            <a:defRPr sz="1300"/>
          </a:lvl8pPr>
          <a:lvl9pPr marL="914400" indent="-114300" algn="ctr">
            <a:defRPr sz="13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588305" y="990457"/>
        <a:ext cx="7158825" cy="265295"/>
      </dsp:txXfrm>
    </dsp:sp>
    <dsp:sp modelId="{3F375DB5-9FCD-492A-8792-CFF416634FD3}">
      <dsp:nvSpPr>
        <dsp:cNvPr id="13" name="矩形 12"/>
        <dsp:cNvSpPr/>
      </dsp:nvSpPr>
      <dsp:spPr bwMode="white">
        <a:xfrm>
          <a:off x="7165111" y="292035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2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销售税金计算表</a:t>
          </a:r>
        </a:p>
      </dsp:txBody>
      <dsp:txXfrm>
        <a:off x="7165111" y="292035"/>
        <a:ext cx="1164037" cy="698422"/>
      </dsp:txXfrm>
    </dsp:sp>
    <dsp:sp modelId="{3E71658E-2453-4C3F-B6DA-50433780A130}">
      <dsp:nvSpPr>
        <dsp:cNvPr id="16" name="任意多边形 15"/>
        <dsp:cNvSpPr/>
      </dsp:nvSpPr>
      <dsp:spPr bwMode="white">
        <a:xfrm>
          <a:off x="1170323" y="1604963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3"/>
        </a:lnRef>
        <a:fillRef idx="0">
          <a:schemeClr val="accent3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1170323" y="1604963"/>
        <a:ext cx="267728" cy="0"/>
      </dsp:txXfrm>
    </dsp:sp>
    <dsp:sp modelId="{261E5DAC-66D8-4608-ACBC-5C5059E598D6}">
      <dsp:nvSpPr>
        <dsp:cNvPr id="15" name="矩形 14"/>
        <dsp:cNvSpPr/>
      </dsp:nvSpPr>
      <dsp:spPr bwMode="white">
        <a:xfrm>
          <a:off x="6287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3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流动资金估算表</a:t>
          </a:r>
        </a:p>
      </dsp:txBody>
      <dsp:txXfrm>
        <a:off x="6287" y="1255752"/>
        <a:ext cx="1164037" cy="698422"/>
      </dsp:txXfrm>
    </dsp:sp>
    <dsp:sp modelId="{680EEEE2-977E-4D3E-A20F-13F5782C7E0F}">
      <dsp:nvSpPr>
        <dsp:cNvPr id="18" name="任意多边形 17"/>
        <dsp:cNvSpPr/>
      </dsp:nvSpPr>
      <dsp:spPr bwMode="white">
        <a:xfrm>
          <a:off x="2602088" y="1604963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4"/>
        </a:lnRef>
        <a:fillRef idx="0">
          <a:schemeClr val="accent4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2602088" y="1604963"/>
        <a:ext cx="267728" cy="0"/>
      </dsp:txXfrm>
    </dsp:sp>
    <dsp:sp modelId="{F6B6FA49-67E6-4477-8511-7F77762562ED}">
      <dsp:nvSpPr>
        <dsp:cNvPr id="17" name="矩形 16"/>
        <dsp:cNvSpPr/>
      </dsp:nvSpPr>
      <dsp:spPr bwMode="white">
        <a:xfrm>
          <a:off x="1438052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4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项目资金筹措表</a:t>
          </a:r>
        </a:p>
      </dsp:txBody>
      <dsp:txXfrm>
        <a:off x="1438052" y="1255752"/>
        <a:ext cx="1164037" cy="698422"/>
      </dsp:txXfrm>
    </dsp:sp>
    <dsp:sp modelId="{220BDC51-E6BE-4529-97B6-50EA85E19426}">
      <dsp:nvSpPr>
        <dsp:cNvPr id="20" name="任意多边形 19"/>
        <dsp:cNvSpPr/>
      </dsp:nvSpPr>
      <dsp:spPr bwMode="white">
        <a:xfrm>
          <a:off x="4033853" y="1604963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5"/>
        </a:lnRef>
        <a:fillRef idx="0">
          <a:schemeClr val="accent5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4033853" y="1604963"/>
        <a:ext cx="267728" cy="0"/>
      </dsp:txXfrm>
    </dsp:sp>
    <dsp:sp modelId="{B300CB27-DF56-4466-8DAF-06E44A741F9F}">
      <dsp:nvSpPr>
        <dsp:cNvPr id="19" name="矩形 18"/>
        <dsp:cNvSpPr/>
      </dsp:nvSpPr>
      <dsp:spPr bwMode="white">
        <a:xfrm>
          <a:off x="2869817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5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固定资产折旧与无形摊销估算</a:t>
          </a:r>
        </a:p>
      </dsp:txBody>
      <dsp:txXfrm>
        <a:off x="2869817" y="1255752"/>
        <a:ext cx="1164037" cy="698422"/>
      </dsp:txXfrm>
    </dsp:sp>
    <dsp:sp modelId="{BE4274D8-3D5F-46A0-B7F8-13E79869CEAE}">
      <dsp:nvSpPr>
        <dsp:cNvPr id="22" name="任意多边形 21"/>
        <dsp:cNvSpPr/>
      </dsp:nvSpPr>
      <dsp:spPr bwMode="white">
        <a:xfrm>
          <a:off x="5465618" y="1604963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6"/>
        </a:lnRef>
        <a:fillRef idx="0">
          <a:schemeClr val="accent6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5465618" y="1604963"/>
        <a:ext cx="267728" cy="0"/>
      </dsp:txXfrm>
    </dsp:sp>
    <dsp:sp modelId="{538F7FB7-3CF8-4F16-BEC6-068265EC0048}">
      <dsp:nvSpPr>
        <dsp:cNvPr id="21" name="矩形 20"/>
        <dsp:cNvSpPr/>
      </dsp:nvSpPr>
      <dsp:spPr bwMode="white">
        <a:xfrm>
          <a:off x="4301581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6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项目还本付息计划表</a:t>
          </a:r>
        </a:p>
      </dsp:txBody>
      <dsp:txXfrm>
        <a:off x="4301581" y="1255752"/>
        <a:ext cx="1164037" cy="698422"/>
      </dsp:txXfrm>
    </dsp:sp>
    <dsp:sp modelId="{8411CD74-D93F-4F0D-B2CA-22D32324B771}">
      <dsp:nvSpPr>
        <dsp:cNvPr id="24" name="任意多边形 23"/>
        <dsp:cNvSpPr/>
      </dsp:nvSpPr>
      <dsp:spPr bwMode="white">
        <a:xfrm>
          <a:off x="6897383" y="1604963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2"/>
        </a:lnRef>
        <a:fillRef idx="0">
          <a:schemeClr val="accent2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6897383" y="1604963"/>
        <a:ext cx="267728" cy="0"/>
      </dsp:txXfrm>
    </dsp:sp>
    <dsp:sp modelId="{6ABF889D-72FA-40FE-879E-ED0A69DD7DCC}">
      <dsp:nvSpPr>
        <dsp:cNvPr id="23" name="矩形 22"/>
        <dsp:cNvSpPr/>
      </dsp:nvSpPr>
      <dsp:spPr bwMode="white">
        <a:xfrm>
          <a:off x="5733346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2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项目总成本费用估算表</a:t>
          </a:r>
        </a:p>
      </dsp:txBody>
      <dsp:txXfrm>
        <a:off x="5733346" y="1255752"/>
        <a:ext cx="1164037" cy="698422"/>
      </dsp:txXfrm>
    </dsp:sp>
    <dsp:sp modelId="{E388C15A-22BA-4C5C-BEBA-D636547D8A35}">
      <dsp:nvSpPr>
        <dsp:cNvPr id="26" name="任意多边形 25"/>
        <dsp:cNvSpPr/>
      </dsp:nvSpPr>
      <dsp:spPr bwMode="white">
        <a:xfrm>
          <a:off x="588305" y="1954173"/>
          <a:ext cx="7158825" cy="265295"/>
        </a:xfrm>
        <a:custGeom>
          <a:avLst/>
          <a:gdLst/>
          <a:ahLst/>
          <a:cxnLst/>
          <a:pathLst>
            <a:path w="11274" h="418">
              <a:moveTo>
                <a:pt x="11274" y="0"/>
              </a:moveTo>
              <a:lnTo>
                <a:pt x="11274" y="209"/>
              </a:lnTo>
              <a:lnTo>
                <a:pt x="0" y="209"/>
              </a:lnTo>
              <a:lnTo>
                <a:pt x="0" y="418"/>
              </a:lnTo>
            </a:path>
          </a:pathLst>
        </a:custGeom>
        <a:ln>
          <a:tailEnd type="arrow" w="lg" len="med"/>
        </a:ln>
      </dsp:spPr>
      <dsp:style>
        <a:lnRef idx="1">
          <a:schemeClr val="accent3"/>
        </a:lnRef>
        <a:fillRef idx="0">
          <a:schemeClr val="accent3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1700"/>
          </a:lvl1pPr>
          <a:lvl2pPr marL="114300" indent="-114300" algn="ctr">
            <a:defRPr sz="1300"/>
          </a:lvl2pPr>
          <a:lvl3pPr marL="228600" indent="-114300" algn="ctr">
            <a:defRPr sz="1300"/>
          </a:lvl3pPr>
          <a:lvl4pPr marL="342900" indent="-114300" algn="ctr">
            <a:defRPr sz="1300"/>
          </a:lvl4pPr>
          <a:lvl5pPr marL="457200" indent="-114300" algn="ctr">
            <a:defRPr sz="1300"/>
          </a:lvl5pPr>
          <a:lvl6pPr marL="571500" indent="-114300" algn="ctr">
            <a:defRPr sz="1300"/>
          </a:lvl6pPr>
          <a:lvl7pPr marL="685800" indent="-114300" algn="ctr">
            <a:defRPr sz="1300"/>
          </a:lvl7pPr>
          <a:lvl8pPr marL="800100" indent="-114300" algn="ctr">
            <a:defRPr sz="1300"/>
          </a:lvl8pPr>
          <a:lvl9pPr marL="914400" indent="-114300" algn="ctr">
            <a:defRPr sz="13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588305" y="1954173"/>
        <a:ext cx="7158825" cy="265295"/>
      </dsp:txXfrm>
    </dsp:sp>
    <dsp:sp modelId="{52060CAF-0058-4694-A92A-E9DA2F505588}">
      <dsp:nvSpPr>
        <dsp:cNvPr id="25" name="矩形 24"/>
        <dsp:cNvSpPr/>
      </dsp:nvSpPr>
      <dsp:spPr bwMode="white">
        <a:xfrm>
          <a:off x="7165111" y="1255752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3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损益表</a:t>
          </a:r>
        </a:p>
      </dsp:txBody>
      <dsp:txXfrm>
        <a:off x="7165111" y="1255752"/>
        <a:ext cx="1164037" cy="698422"/>
      </dsp:txXfrm>
    </dsp:sp>
    <dsp:sp modelId="{ED100F33-3D44-4FD0-A42C-FC13CB49CDFB}">
      <dsp:nvSpPr>
        <dsp:cNvPr id="28" name="任意多边形 27"/>
        <dsp:cNvSpPr/>
      </dsp:nvSpPr>
      <dsp:spPr bwMode="white">
        <a:xfrm>
          <a:off x="1170323" y="2568679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4"/>
        </a:lnRef>
        <a:fillRef idx="0">
          <a:schemeClr val="accent4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1170323" y="2568679"/>
        <a:ext cx="267728" cy="0"/>
      </dsp:txXfrm>
    </dsp:sp>
    <dsp:sp modelId="{51BE7D59-70BD-4376-A9A4-7984ADD5BDEE}">
      <dsp:nvSpPr>
        <dsp:cNvPr id="27" name="矩形 26"/>
        <dsp:cNvSpPr/>
      </dsp:nvSpPr>
      <dsp:spPr bwMode="white">
        <a:xfrm>
          <a:off x="6287" y="2219468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4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财务计划现金流量表</a:t>
          </a:r>
        </a:p>
      </dsp:txBody>
      <dsp:txXfrm>
        <a:off x="6287" y="2219468"/>
        <a:ext cx="1164037" cy="698422"/>
      </dsp:txXfrm>
    </dsp:sp>
    <dsp:sp modelId="{5B838000-182E-4178-98AC-7A0A3DFF826A}">
      <dsp:nvSpPr>
        <dsp:cNvPr id="30" name="任意多边形 29"/>
        <dsp:cNvSpPr/>
      </dsp:nvSpPr>
      <dsp:spPr bwMode="white">
        <a:xfrm>
          <a:off x="2602088" y="2568679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5"/>
        </a:lnRef>
        <a:fillRef idx="0">
          <a:schemeClr val="accent5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2602088" y="2568679"/>
        <a:ext cx="267728" cy="0"/>
      </dsp:txXfrm>
    </dsp:sp>
    <dsp:sp modelId="{EDB1439A-AA67-4D05-8A79-30C6E447590C}">
      <dsp:nvSpPr>
        <dsp:cNvPr id="29" name="矩形 28"/>
        <dsp:cNvSpPr/>
      </dsp:nvSpPr>
      <dsp:spPr bwMode="white">
        <a:xfrm>
          <a:off x="1438052" y="2219468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5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项目投资现金流量表</a:t>
          </a:r>
        </a:p>
      </dsp:txBody>
      <dsp:txXfrm>
        <a:off x="1438052" y="2219468"/>
        <a:ext cx="1164037" cy="698422"/>
      </dsp:txXfrm>
    </dsp:sp>
    <dsp:sp modelId="{3E086F12-A940-4477-96AC-35823F89A5CD}">
      <dsp:nvSpPr>
        <dsp:cNvPr id="32" name="任意多边形 31"/>
        <dsp:cNvSpPr/>
      </dsp:nvSpPr>
      <dsp:spPr bwMode="white">
        <a:xfrm>
          <a:off x="4033853" y="2568679"/>
          <a:ext cx="267728" cy="0"/>
        </a:xfrm>
        <a:custGeom>
          <a:avLst/>
          <a:gdLst/>
          <a:ahLst/>
          <a:cxnLst/>
          <a:pathLst>
            <a:path w="422">
              <a:moveTo>
                <a:pt x="0" y="0"/>
              </a:moveTo>
              <a:lnTo>
                <a:pt x="422" y="0"/>
              </a:lnTo>
            </a:path>
          </a:pathLst>
        </a:custGeom>
        <a:ln>
          <a:tailEnd type="arrow" w="lg" len="med"/>
        </a:ln>
      </dsp:spPr>
      <dsp:style>
        <a:lnRef idx="1">
          <a:schemeClr val="accent6"/>
        </a:lnRef>
        <a:fillRef idx="0">
          <a:schemeClr val="accent6"/>
        </a:fillRef>
        <a:effectRef idx="0">
          <a:scrgbClr r="0" g="0" b="0"/>
        </a:effectRef>
        <a:fontRef idx="minor"/>
      </dsp:style>
      <dsp:txBody>
        <a:bodyPr lIns="12700" tIns="0" rIns="12700" bIns="0" anchor="ctr"/>
        <a:lstStyle>
          <a:lvl1pPr algn="ctr">
            <a:defRPr sz="500"/>
          </a:lvl1pPr>
          <a:lvl2pPr marL="57150" indent="-57150" algn="ctr">
            <a:defRPr sz="400"/>
          </a:lvl2pPr>
          <a:lvl3pPr marL="114300" indent="-57150" algn="ctr">
            <a:defRPr sz="400"/>
          </a:lvl3pPr>
          <a:lvl4pPr marL="171450" indent="-57150" algn="ctr">
            <a:defRPr sz="400"/>
          </a:lvl4pPr>
          <a:lvl5pPr marL="228600" indent="-57150" algn="ctr">
            <a:defRPr sz="400"/>
          </a:lvl5pPr>
          <a:lvl6pPr marL="285750" indent="-57150" algn="ctr">
            <a:defRPr sz="400"/>
          </a:lvl6pPr>
          <a:lvl7pPr marL="342900" indent="-57150" algn="ctr">
            <a:defRPr sz="400"/>
          </a:lvl7pPr>
          <a:lvl8pPr marL="400050" indent="-57150" algn="ctr">
            <a:defRPr sz="400"/>
          </a:lvl8pPr>
          <a:lvl9pPr marL="457200" indent="-57150" algn="ctr">
            <a:defRPr sz="4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zh-CN" altLang="en-US">
            <a:solidFill>
              <a:sysClr val="windowText" lastClr="000000"/>
            </a:solidFill>
            <a:latin typeface="华文仿宋" panose="02010600040101010101" pitchFamily="2" charset="-122"/>
            <a:ea typeface="华文仿宋" panose="02010600040101010101" pitchFamily="2" charset="-122"/>
          </a:endParaRPr>
        </a:p>
      </dsp:txBody>
      <dsp:txXfrm>
        <a:off x="4033853" y="2568679"/>
        <a:ext cx="267728" cy="0"/>
      </dsp:txXfrm>
    </dsp:sp>
    <dsp:sp modelId="{E562CD29-4D7D-429D-B331-57FABCBB4914}">
      <dsp:nvSpPr>
        <dsp:cNvPr id="31" name="矩形 30"/>
        <dsp:cNvSpPr/>
      </dsp:nvSpPr>
      <dsp:spPr bwMode="white">
        <a:xfrm>
          <a:off x="2869817" y="2219468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6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项目资本金现金流量表</a:t>
          </a:r>
        </a:p>
      </dsp:txBody>
      <dsp:txXfrm>
        <a:off x="2869817" y="2219468"/>
        <a:ext cx="1164037" cy="698422"/>
      </dsp:txXfrm>
    </dsp:sp>
    <dsp:sp modelId="{3F1FCCFC-2E49-4AAA-A50B-19A73E21B362}">
      <dsp:nvSpPr>
        <dsp:cNvPr id="33" name="矩形 32"/>
        <dsp:cNvSpPr/>
      </dsp:nvSpPr>
      <dsp:spPr bwMode="white">
        <a:xfrm>
          <a:off x="4301581" y="2219468"/>
          <a:ext cx="1164037" cy="698422"/>
        </a:xfrm>
        <a:prstGeom prst="rect">
          <a:avLst/>
        </a:prstGeom>
      </dsp:spPr>
      <dsp:style>
        <a:lnRef idx="2">
          <a:schemeClr val="lt1"/>
        </a:lnRef>
        <a:fillRef idx="1">
          <a:schemeClr val="accent2"/>
        </a:fillRef>
        <a:effectRef idx="0">
          <a:scrgbClr r="0" g="0" b="0"/>
        </a:effectRef>
        <a:fontRef idx="minor">
          <a:schemeClr val="lt1"/>
        </a:fontRef>
      </dsp:style>
      <dsp:txBody>
        <a:bodyPr lIns="78232" tIns="78232" rIns="78232" bIns="78232" anchor="ctr"/>
        <a:lstStyle>
          <a:lvl1pPr algn="ctr">
            <a:defRPr sz="1100"/>
          </a:lvl1pPr>
          <a:lvl2pPr marL="57150" indent="-57150" algn="ctr">
            <a:defRPr sz="800"/>
          </a:lvl2pPr>
          <a:lvl3pPr marL="114300" indent="-57150" algn="ctr">
            <a:defRPr sz="800"/>
          </a:lvl3pPr>
          <a:lvl4pPr marL="171450" indent="-57150" algn="ctr">
            <a:defRPr sz="800"/>
          </a:lvl4pPr>
          <a:lvl5pPr marL="228600" indent="-57150" algn="ctr">
            <a:defRPr sz="800"/>
          </a:lvl5pPr>
          <a:lvl6pPr marL="285750" indent="-57150" algn="ctr">
            <a:defRPr sz="800"/>
          </a:lvl6pPr>
          <a:lvl7pPr marL="342900" indent="-57150" algn="ctr">
            <a:defRPr sz="800"/>
          </a:lvl7pPr>
          <a:lvl8pPr marL="400050" indent="-57150" algn="ctr">
            <a:defRPr sz="800"/>
          </a:lvl8pPr>
          <a:lvl9pPr marL="457200" indent="-57150" algn="ctr">
            <a:defRPr sz="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zh-CN" altLang="en-US">
              <a:solidFill>
                <a:sysClr val="windowText" lastClr="000000"/>
              </a:solidFill>
              <a:latin typeface="华文仿宋" panose="02010600040101010101" pitchFamily="2" charset="-122"/>
              <a:ea typeface="华文仿宋" panose="02010600040101010101" pitchFamily="2" charset="-122"/>
            </a:rPr>
            <a:t>敏感性分析</a:t>
          </a:r>
        </a:p>
      </dsp:txBody>
      <dsp:txXfrm>
        <a:off x="4301581" y="2219468"/>
        <a:ext cx="1164037" cy="69842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bProcess3">
  <dgm:title val=""/>
  <dgm:desc val=""/>
  <dgm:catLst>
    <dgm:cat type="process" pri="18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axis="self" func="var" arg="dir" op="equ" val="norm">
        <dgm:alg type="snake">
          <dgm:param type="bkpt" val="endCnv"/>
          <dgm:param type="contDir" val="sameDir"/>
          <dgm:param type="grDir" val="tL"/>
          <dgm:param type="flowDir" val="row"/>
        </dgm:alg>
      </dgm:if>
      <dgm:else name="Name3">
        <dgm:alg type="snake">
          <dgm:param type="bkpt" val="endCnv"/>
          <dgm:param type="contDir" val="sameDir"/>
          <dgm:param type="grDir" val="tR"/>
          <dgm:param type="flowDir" val="row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forName="sibTrans" refType="w" refFor="ch" refPtType="node" op="equ" fact="0.23"/>
      <dgm:constr type="sp" refType="w" refFor="ch" refForName="sibTrans" op="equ"/>
      <dgm:constr type="userB" for="des" forName="connectorText" refType="sp"/>
      <dgm:constr type="primFontSz" for="ch" ptType="node" op="equ" val="65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h" refType="w" fact="0.6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choose name="Name4">
            <dgm:if name="Name5" axis="self" func="var" arg="dir" op="equ" val="norm">
              <dgm:alg type="conn">
                <dgm:param type="dim" val="1D"/>
                <dgm:param type="connRout" val="bend"/>
                <dgm:param type="begPts" val="midR bCtr"/>
                <dgm:param type="endPts" val="midL tCtr"/>
              </dgm:alg>
            </dgm:if>
            <dgm:else name="Name6">
              <dgm:alg type="conn">
                <dgm:param type="dim" val="1D"/>
                <dgm:param type="connRout" val="bend"/>
                <dgm:param type="begPts" val="midL bCtr"/>
                <dgm:param type="endPts" val="midR tCtr"/>
              </dgm:alg>
            </dgm:else>
          </dgm:choose>
          <dgm:shape xmlns:r="http://schemas.openxmlformats.org/officeDocument/2006/relationships" type="conn" r:blip="" zOrderOff="-2">
            <dgm:adjLst/>
          </dgm:shape>
          <dgm:presOf axis="self"/>
          <dgm:constrLst>
            <dgm:constr type="begPad" val="-0.05"/>
            <dgm:constr type="endPad" val="0.9"/>
            <dgm:constr type="userA" for="ch" refType="connDist"/>
          </dgm:constrLst>
          <dgm:ruleLst/>
          <dgm:layoutNode name="connectorText">
            <dgm:alg type="tx">
              <dgm:param type="autoTxRot" val="upr"/>
            </dgm:alg>
            <dgm:shape xmlns:r="http://schemas.openxmlformats.org/officeDocument/2006/relationships" type="rect" r:blip="" hideGeom="1">
              <dgm:adjLst/>
            </dgm:shape>
            <dgm:presOf axis="self"/>
            <dgm:constrLst>
              <dgm:constr type="userA"/>
              <dgm:constr type="userB"/>
              <dgm:constr type="w" refType="userA" fact="0.05"/>
              <dgm:constr type="h" refType="userB" fact="0.01"/>
              <dgm:constr type="lMarg" val="1"/>
              <dgm:constr type="rMarg" val="1"/>
              <dgm:constr type="tMarg"/>
              <dgm:constr type="bMarg"/>
            </dgm:constrLst>
            <dgm:ruleLst>
              <dgm:rule type="w" val="NaN" fact="0.6" max="NaN"/>
              <dgm:rule type="h" val="NaN" fact="0.6" max="NaN"/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align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callout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2D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threePt" dir="t"/>
    </dgm:scene3d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olidAlign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ven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</dgm:styleDef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diagramColors" Target="../diagrams/colors1.xml"/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276225</xdr:colOff>
      <xdr:row>0</xdr:row>
      <xdr:rowOff>104775</xdr:rowOff>
    </xdr:from>
    <xdr:to>
      <xdr:col>15</xdr:col>
      <xdr:colOff>47625</xdr:colOff>
      <xdr:row>31</xdr:row>
      <xdr:rowOff>9525</xdr:rowOff>
    </xdr:to>
    <xdr:sp>
      <xdr:nvSpPr>
        <xdr:cNvPr id="3" name="矩形 2"/>
        <xdr:cNvSpPr/>
      </xdr:nvSpPr>
      <xdr:spPr>
        <a:xfrm>
          <a:off x="276225" y="104775"/>
          <a:ext cx="9201150" cy="54165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4</xdr:col>
      <xdr:colOff>582935</xdr:colOff>
      <xdr:row>1</xdr:row>
      <xdr:rowOff>170460</xdr:rowOff>
    </xdr:from>
    <xdr:ext cx="3939541" cy="572729"/>
    <xdr:sp>
      <xdr:nvSpPr>
        <xdr:cNvPr id="4" name="矩形 3"/>
        <xdr:cNvSpPr/>
      </xdr:nvSpPr>
      <xdr:spPr>
        <a:xfrm>
          <a:off x="3097530" y="347980"/>
          <a:ext cx="3939540" cy="57277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大同</a:t>
          </a:r>
          <a:r>
            <a:rPr lang="en-US" altLang="zh-CN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SNG</a:t>
          </a:r>
          <a:r>
            <a:rPr lang="zh-CN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项目经济评价模型</a:t>
          </a:r>
          <a:endParaRPr lang="zh-CN" alt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华文中宋" panose="02010600040101010101" pitchFamily="2" charset="-122"/>
            <a:ea typeface="华文中宋" panose="02010600040101010101" pitchFamily="2" charset="-122"/>
          </a:endParaRPr>
        </a:p>
      </xdr:txBody>
    </xdr:sp>
    <xdr:clientData/>
  </xdr:oneCellAnchor>
  <xdr:oneCellAnchor>
    <xdr:from>
      <xdr:col>5</xdr:col>
      <xdr:colOff>167974</xdr:colOff>
      <xdr:row>26</xdr:row>
      <xdr:rowOff>46635</xdr:rowOff>
    </xdr:from>
    <xdr:ext cx="3531223" cy="642298"/>
    <xdr:sp>
      <xdr:nvSpPr>
        <xdr:cNvPr id="6" name="矩形 5"/>
        <xdr:cNvSpPr/>
      </xdr:nvSpPr>
      <xdr:spPr>
        <a:xfrm>
          <a:off x="3310890" y="4669155"/>
          <a:ext cx="3531235" cy="6419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大同煤制天然气项目筹备组 控制部 财务部</a:t>
          </a:r>
          <a:endParaRPr lang="en-US" altLang="zh-CN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华文中宋" panose="02010600040101010101" pitchFamily="2" charset="-122"/>
            <a:ea typeface="华文中宋" panose="02010600040101010101" pitchFamily="2" charset="-122"/>
          </a:endParaRPr>
        </a:p>
        <a:p>
          <a:pPr algn="ctr"/>
          <a:r>
            <a:rPr lang="en-US" altLang="zh-CN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2017</a:t>
          </a:r>
          <a:r>
            <a:rPr lang="zh-CN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年</a:t>
          </a:r>
          <a:r>
            <a:rPr lang="en-US" altLang="zh-CN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3</a:t>
          </a:r>
          <a:r>
            <a:rPr lang="zh-CN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华文中宋" panose="02010600040101010101" pitchFamily="2" charset="-122"/>
              <a:ea typeface="华文中宋" panose="02010600040101010101" pitchFamily="2" charset="-122"/>
            </a:rPr>
            <a:t>月</a:t>
          </a:r>
          <a:endParaRPr lang="zh-CN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华文中宋" panose="02010600040101010101" pitchFamily="2" charset="-122"/>
            <a:ea typeface="华文中宋" panose="02010600040101010101" pitchFamily="2" charset="-122"/>
          </a:endParaRPr>
        </a:p>
      </xdr:txBody>
    </xdr:sp>
    <xdr:clientData/>
  </xdr:oneCellAnchor>
  <xdr:twoCellAnchor>
    <xdr:from>
      <xdr:col>1</xdr:col>
      <xdr:colOff>171449</xdr:colOff>
      <xdr:row>6</xdr:row>
      <xdr:rowOff>152400</xdr:rowOff>
    </xdr:from>
    <xdr:to>
      <xdr:col>14</xdr:col>
      <xdr:colOff>304800</xdr:colOff>
      <xdr:row>24</xdr:row>
      <xdr:rowOff>161925</xdr:rowOff>
    </xdr:to>
    <xdr:graphicFrame>
      <xdr:nvGraphicFramePr>
        <xdr:cNvPr id="8" name="图示 7"/>
        <xdr:cNvGraphicFramePr/>
      </xdr:nvGraphicFramePr>
      <xdr:xfrm>
        <a:off x="799465" y="1219200"/>
        <a:ext cx="8306435" cy="3209925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26</xdr:row>
      <xdr:rowOff>85725</xdr:rowOff>
    </xdr:from>
    <xdr:to>
      <xdr:col>8</xdr:col>
      <xdr:colOff>600075</xdr:colOff>
      <xdr:row>28</xdr:row>
      <xdr:rowOff>142875</xdr:rowOff>
    </xdr:to>
    <xdr:sp>
      <xdr:nvSpPr>
        <xdr:cNvPr id="2" name="圆角矩形 1"/>
        <xdr:cNvSpPr/>
      </xdr:nvSpPr>
      <xdr:spPr>
        <a:xfrm>
          <a:off x="66675" y="5397500"/>
          <a:ext cx="7064375" cy="4127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注：此表数据来源于五环院可研。</a:t>
          </a:r>
          <a:endParaRPr lang="zh-CN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57150</xdr:colOff>
      <xdr:row>0</xdr:row>
      <xdr:rowOff>209550</xdr:rowOff>
    </xdr:from>
    <xdr:to>
      <xdr:col>14</xdr:col>
      <xdr:colOff>28575</xdr:colOff>
      <xdr:row>18</xdr:row>
      <xdr:rowOff>161925</xdr:rowOff>
    </xdr:to>
    <xdr:graphicFrame>
      <xdr:nvGraphicFramePr>
        <xdr:cNvPr id="2" name="图表 1"/>
        <xdr:cNvGraphicFramePr/>
      </xdr:nvGraphicFramePr>
      <xdr:xfrm>
        <a:off x="6588125" y="209550"/>
        <a:ext cx="4572635" cy="3298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38634;&#39134;\Desktop\&#36130;&#21153;&#35780;&#20215;\&#36130;&#21153;&#35780;&#20215;-&#38634;&#391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38634;&#39134;\Desktop\&#22823;&#21516;SNG&#39033;&#30446;&#32463;&#27982;&#35780;&#20215;&#27169;&#22411;201703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计算步骤"/>
      <sheetName val="经济评价计算说明"/>
      <sheetName val="00-估算表"/>
      <sheetName val="01-参数表"/>
      <sheetName val="1-财务评价主要指标表"/>
      <sheetName val="2-年总成本费用表"/>
      <sheetName val="3-流动资金估算表"/>
      <sheetName val="4-销售收入和销售税金估算表"/>
      <sheetName val="5-损益表"/>
      <sheetName val="6-借款还本付息计算表"/>
      <sheetName val="7- 财务计划现金流量表 "/>
      <sheetName val="8-资产负债表"/>
      <sheetName val="9-项目投资现金流量表"/>
      <sheetName val="10-项目资本金现金流量表"/>
      <sheetName val="10-敏感性分析表"/>
      <sheetName val="11-固定资产折旧、无形与递延资产摊销费估算表"/>
      <sheetName val="12-分年投资计划和资金筹措表"/>
      <sheetName val="经济评价教程"/>
      <sheetName val="杂"/>
      <sheetName val="财务评价-雪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 计算说明"/>
      <sheetName val="2 参数设置"/>
      <sheetName val="3 建设投资"/>
      <sheetName val="4 资金筹措与分年投资计划"/>
      <sheetName val="5 折旧摊销"/>
      <sheetName val="6 经营成本"/>
      <sheetName val="7 销售收入和税金计算"/>
      <sheetName val="8 还本付息计算表"/>
      <sheetName val="9 总成本费用"/>
      <sheetName val="10 损益表"/>
      <sheetName val="11 流动资金估算表"/>
      <sheetName val="12财务计划现金流量表 "/>
      <sheetName val="13项目投资现金流量表"/>
      <sheetName val="14 项目资本金现金流量表"/>
      <sheetName val="15 敏感性分析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敏感性分析"/>
      <sheetName val="市场需求预测"/>
      <sheetName val="筹资决策"/>
      <sheetName val="项目财务评价"/>
      <sheetName val="设备更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2060"/>
  </sheetPr>
  <dimension ref="A1"/>
  <sheetViews>
    <sheetView tabSelected="1" workbookViewId="0">
      <selection activeCell="P14" sqref="P14"/>
    </sheetView>
  </sheetViews>
  <sheetFormatPr defaultColWidth="9" defaultRowHeight="14"/>
  <sheetData/>
  <pageMargins left="0.7" right="0.7" top="0.75" bottom="0.75" header="0.3" footer="0.3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92D050"/>
  </sheetPr>
  <dimension ref="A1:X34"/>
  <sheetViews>
    <sheetView workbookViewId="0">
      <selection activeCell="D10" sqref="D10"/>
    </sheetView>
  </sheetViews>
  <sheetFormatPr defaultColWidth="9" defaultRowHeight="14"/>
  <cols>
    <col min="1" max="1" width="8.12727272727273" customWidth="1"/>
    <col min="2" max="2" width="8.62727272727273" customWidth="1"/>
    <col min="3" max="3" width="14.8727272727273" customWidth="1"/>
    <col min="4" max="4" width="9.5" customWidth="1"/>
    <col min="5" max="5" width="5.5" customWidth="1"/>
    <col min="6" max="7" width="5.37272727272727" customWidth="1"/>
    <col min="8" max="8" width="9.62727272727273" customWidth="1"/>
    <col min="9" max="14" width="9.5" customWidth="1"/>
    <col min="15" max="24" width="9.25454545454545" customWidth="1"/>
  </cols>
  <sheetData>
    <row r="1" ht="34.5" customHeight="1" spans="1:18">
      <c r="A1" s="211" t="s">
        <v>325</v>
      </c>
      <c r="B1" s="211"/>
      <c r="C1" s="211"/>
      <c r="D1" s="211"/>
      <c r="E1" s="211"/>
      <c r="F1" s="211"/>
      <c r="G1" s="211"/>
      <c r="H1" s="211"/>
      <c r="M1" s="265" t="s">
        <v>326</v>
      </c>
      <c r="N1" s="265"/>
      <c r="O1">
        <v>1</v>
      </c>
      <c r="Q1" s="268" t="s">
        <v>327</v>
      </c>
      <c r="R1" s="269">
        <v>1</v>
      </c>
    </row>
    <row r="2" ht="34.5" customHeight="1" spans="1:18">
      <c r="A2" s="212"/>
      <c r="B2" s="212"/>
      <c r="C2" s="212"/>
      <c r="D2" s="212"/>
      <c r="E2" s="212"/>
      <c r="F2" s="212"/>
      <c r="G2" s="212"/>
      <c r="H2" s="212"/>
      <c r="Q2" s="270" t="s">
        <v>328</v>
      </c>
      <c r="R2" s="269">
        <v>2</v>
      </c>
    </row>
    <row r="3" ht="45" customHeight="1" spans="1:12">
      <c r="A3" s="213" t="s">
        <v>329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="132" customFormat="1" ht="18" customHeight="1" spans="1:24">
      <c r="A4" s="215"/>
      <c r="B4" s="216" t="s">
        <v>3</v>
      </c>
      <c r="C4" s="217"/>
      <c r="D4" s="206"/>
      <c r="E4" s="206" t="s">
        <v>121</v>
      </c>
      <c r="F4" s="206" t="s">
        <v>122</v>
      </c>
      <c r="G4" s="206" t="s">
        <v>123</v>
      </c>
      <c r="H4" s="206" t="s">
        <v>140</v>
      </c>
      <c r="I4" s="206" t="s">
        <v>141</v>
      </c>
      <c r="J4" s="206" t="s">
        <v>142</v>
      </c>
      <c r="K4" s="206" t="s">
        <v>143</v>
      </c>
      <c r="L4" s="206" t="s">
        <v>144</v>
      </c>
      <c r="M4" s="206" t="s">
        <v>145</v>
      </c>
      <c r="N4" s="206" t="s">
        <v>146</v>
      </c>
      <c r="O4" s="206" t="s">
        <v>147</v>
      </c>
      <c r="P4" s="206" t="s">
        <v>148</v>
      </c>
      <c r="Q4" s="206" t="s">
        <v>149</v>
      </c>
      <c r="R4" s="206" t="s">
        <v>150</v>
      </c>
      <c r="S4" s="206" t="s">
        <v>151</v>
      </c>
      <c r="T4" s="206" t="s">
        <v>152</v>
      </c>
      <c r="U4" s="206" t="s">
        <v>153</v>
      </c>
      <c r="V4" s="206" t="s">
        <v>154</v>
      </c>
      <c r="W4" s="206" t="s">
        <v>155</v>
      </c>
      <c r="X4" s="206" t="s">
        <v>156</v>
      </c>
    </row>
    <row r="5" s="132" customFormat="1" ht="18" customHeight="1" spans="1:24">
      <c r="A5" s="215"/>
      <c r="B5" s="218" t="s">
        <v>330</v>
      </c>
      <c r="C5" s="218"/>
      <c r="D5" s="219">
        <f>IF($O$1=1,D10,D26)</f>
        <v>1615187.92762283</v>
      </c>
      <c r="E5" s="219">
        <f t="shared" ref="E5:X5" si="0">IF($O$1=1,E10,E26)</f>
        <v>0</v>
      </c>
      <c r="F5" s="219">
        <f t="shared" si="0"/>
        <v>0</v>
      </c>
      <c r="G5" s="219">
        <f t="shared" si="0"/>
        <v>0</v>
      </c>
      <c r="H5" s="219">
        <f t="shared" si="0"/>
        <v>1615187.92762283</v>
      </c>
      <c r="I5" s="219">
        <f t="shared" si="0"/>
        <v>1510739.10830322</v>
      </c>
      <c r="J5" s="219">
        <f t="shared" si="0"/>
        <v>1406290.28898361</v>
      </c>
      <c r="K5" s="219">
        <f t="shared" si="0"/>
        <v>1301841.469664</v>
      </c>
      <c r="L5" s="219">
        <f t="shared" si="0"/>
        <v>1197392.65034439</v>
      </c>
      <c r="M5" s="219">
        <f t="shared" si="0"/>
        <v>1092943.83102478</v>
      </c>
      <c r="N5" s="219">
        <f t="shared" si="0"/>
        <v>988495.011705174</v>
      </c>
      <c r="O5" s="219">
        <f t="shared" si="0"/>
        <v>884046.192385565</v>
      </c>
      <c r="P5" s="219">
        <f t="shared" si="0"/>
        <v>779597.373065955</v>
      </c>
      <c r="Q5" s="219">
        <f t="shared" si="0"/>
        <v>675148.553746345</v>
      </c>
      <c r="R5" s="219">
        <f t="shared" si="0"/>
        <v>570699.734426735</v>
      </c>
      <c r="S5" s="219">
        <f t="shared" si="0"/>
        <v>466250.915107125</v>
      </c>
      <c r="T5" s="219">
        <f t="shared" si="0"/>
        <v>361802.095787515</v>
      </c>
      <c r="U5" s="219">
        <f t="shared" si="0"/>
        <v>257353.276467905</v>
      </c>
      <c r="V5" s="219">
        <f t="shared" si="0"/>
        <v>152904.457148295</v>
      </c>
      <c r="W5" s="219">
        <f t="shared" si="0"/>
        <v>48455.6378286854</v>
      </c>
      <c r="X5" s="219">
        <f t="shared" si="0"/>
        <v>0</v>
      </c>
    </row>
    <row r="6" s="132" customFormat="1" ht="18" customHeight="1" spans="1:24">
      <c r="A6" s="215"/>
      <c r="B6" s="220" t="s">
        <v>331</v>
      </c>
      <c r="C6" s="220"/>
      <c r="D6" s="221" t="str">
        <f>IF($O$1=1,D11,D33)</f>
        <v>残值率3%</v>
      </c>
      <c r="E6" s="221">
        <f t="shared" ref="E6:X6" si="1">IF($O$1=1,E11,E33)</f>
        <v>0</v>
      </c>
      <c r="F6" s="221">
        <f t="shared" si="1"/>
        <v>0</v>
      </c>
      <c r="G6" s="221">
        <f t="shared" si="1"/>
        <v>0</v>
      </c>
      <c r="H6" s="221">
        <f t="shared" si="1"/>
        <v>104448.81931961</v>
      </c>
      <c r="I6" s="221">
        <f t="shared" si="1"/>
        <v>104448.81931961</v>
      </c>
      <c r="J6" s="221">
        <f t="shared" si="1"/>
        <v>104448.81931961</v>
      </c>
      <c r="K6" s="221">
        <f t="shared" si="1"/>
        <v>104448.81931961</v>
      </c>
      <c r="L6" s="221">
        <f t="shared" si="1"/>
        <v>104448.81931961</v>
      </c>
      <c r="M6" s="221">
        <f t="shared" si="1"/>
        <v>104448.81931961</v>
      </c>
      <c r="N6" s="221">
        <f t="shared" si="1"/>
        <v>104448.81931961</v>
      </c>
      <c r="O6" s="221">
        <f t="shared" si="1"/>
        <v>104448.81931961</v>
      </c>
      <c r="P6" s="221">
        <f t="shared" si="1"/>
        <v>104448.81931961</v>
      </c>
      <c r="Q6" s="221">
        <f t="shared" si="1"/>
        <v>104448.81931961</v>
      </c>
      <c r="R6" s="221">
        <f t="shared" si="1"/>
        <v>104448.81931961</v>
      </c>
      <c r="S6" s="221">
        <f t="shared" si="1"/>
        <v>104448.81931961</v>
      </c>
      <c r="T6" s="221">
        <f t="shared" si="1"/>
        <v>104448.81931961</v>
      </c>
      <c r="U6" s="221">
        <f t="shared" si="1"/>
        <v>104448.81931961</v>
      </c>
      <c r="V6" s="221">
        <f t="shared" si="1"/>
        <v>104448.81931961</v>
      </c>
      <c r="W6" s="221">
        <f t="shared" si="1"/>
        <v>48455.6378286854</v>
      </c>
      <c r="X6" s="221">
        <f t="shared" si="1"/>
        <v>0</v>
      </c>
    </row>
    <row r="7" s="132" customFormat="1" ht="18" customHeight="1" spans="1:24">
      <c r="A7" s="215"/>
      <c r="B7" s="218" t="s">
        <v>332</v>
      </c>
      <c r="C7" s="218"/>
      <c r="D7" s="221">
        <f>IF($O$1=1,D12,D34)</f>
        <v>0</v>
      </c>
      <c r="E7" s="221">
        <f t="shared" ref="E7:X7" si="2">IF($O$1=1,E12,E34)</f>
        <v>0</v>
      </c>
      <c r="F7" s="221">
        <f t="shared" si="2"/>
        <v>0</v>
      </c>
      <c r="G7" s="221">
        <f t="shared" si="2"/>
        <v>0</v>
      </c>
      <c r="H7" s="221">
        <f t="shared" si="2"/>
        <v>1510739.10830322</v>
      </c>
      <c r="I7" s="221">
        <f t="shared" si="2"/>
        <v>1406290.28898361</v>
      </c>
      <c r="J7" s="221">
        <f t="shared" si="2"/>
        <v>1301841.469664</v>
      </c>
      <c r="K7" s="221">
        <f t="shared" si="2"/>
        <v>1197392.65034439</v>
      </c>
      <c r="L7" s="221">
        <f t="shared" si="2"/>
        <v>1092943.83102478</v>
      </c>
      <c r="M7" s="221">
        <f t="shared" si="2"/>
        <v>988495.011705174</v>
      </c>
      <c r="N7" s="221">
        <f t="shared" si="2"/>
        <v>884046.192385565</v>
      </c>
      <c r="O7" s="221">
        <f t="shared" si="2"/>
        <v>779597.373065955</v>
      </c>
      <c r="P7" s="221">
        <f t="shared" si="2"/>
        <v>675148.553746345</v>
      </c>
      <c r="Q7" s="221">
        <f t="shared" si="2"/>
        <v>570699.734426735</v>
      </c>
      <c r="R7" s="221">
        <f t="shared" si="2"/>
        <v>466250.915107125</v>
      </c>
      <c r="S7" s="221">
        <f t="shared" si="2"/>
        <v>361802.095787515</v>
      </c>
      <c r="T7" s="221">
        <f t="shared" si="2"/>
        <v>257353.276467905</v>
      </c>
      <c r="U7" s="221">
        <f t="shared" si="2"/>
        <v>152904.457148295</v>
      </c>
      <c r="V7" s="221">
        <f t="shared" si="2"/>
        <v>48455.6378286854</v>
      </c>
      <c r="W7" s="221">
        <f t="shared" si="2"/>
        <v>0</v>
      </c>
      <c r="X7" s="221">
        <f t="shared" si="2"/>
        <v>0</v>
      </c>
    </row>
    <row r="8" ht="41.25" customHeight="1" spans="1:17">
      <c r="A8" s="222"/>
      <c r="B8" s="223"/>
      <c r="C8" s="223"/>
      <c r="D8" s="224"/>
      <c r="E8" s="159" t="s">
        <v>53</v>
      </c>
      <c r="F8" s="160"/>
      <c r="G8" s="225"/>
      <c r="H8" s="226" t="s">
        <v>262</v>
      </c>
      <c r="I8" s="266"/>
      <c r="J8" s="267" t="s">
        <v>333</v>
      </c>
      <c r="K8" s="267">
        <f>D10*3%</f>
        <v>48455.637828685</v>
      </c>
      <c r="L8" s="267"/>
      <c r="M8" s="267"/>
      <c r="N8" s="267"/>
      <c r="O8" s="267"/>
      <c r="P8" s="267"/>
      <c r="Q8" s="267"/>
    </row>
    <row r="9" ht="34.5" customHeight="1" spans="1:24">
      <c r="A9" s="2" t="s">
        <v>2</v>
      </c>
      <c r="B9" s="216" t="s">
        <v>3</v>
      </c>
      <c r="C9" s="217"/>
      <c r="D9" s="206"/>
      <c r="E9" s="206" t="s">
        <v>121</v>
      </c>
      <c r="F9" s="206" t="s">
        <v>122</v>
      </c>
      <c r="G9" s="206" t="s">
        <v>123</v>
      </c>
      <c r="H9" s="206" t="s">
        <v>140</v>
      </c>
      <c r="I9" s="206" t="s">
        <v>141</v>
      </c>
      <c r="J9" s="206" t="s">
        <v>142</v>
      </c>
      <c r="K9" s="206" t="s">
        <v>143</v>
      </c>
      <c r="L9" s="206" t="s">
        <v>144</v>
      </c>
      <c r="M9" s="206" t="s">
        <v>145</v>
      </c>
      <c r="N9" s="206" t="s">
        <v>146</v>
      </c>
      <c r="O9" s="206" t="s">
        <v>147</v>
      </c>
      <c r="P9" s="206" t="s">
        <v>148</v>
      </c>
      <c r="Q9" s="206" t="s">
        <v>149</v>
      </c>
      <c r="R9" s="2" t="s">
        <v>150</v>
      </c>
      <c r="S9" s="2" t="s">
        <v>151</v>
      </c>
      <c r="T9" s="2" t="s">
        <v>152</v>
      </c>
      <c r="U9" s="2" t="s">
        <v>153</v>
      </c>
      <c r="V9" s="2" t="s">
        <v>154</v>
      </c>
      <c r="W9" s="2" t="s">
        <v>155</v>
      </c>
      <c r="X9" s="2" t="s">
        <v>156</v>
      </c>
    </row>
    <row r="10" spans="1:24">
      <c r="A10" s="5">
        <v>1</v>
      </c>
      <c r="B10" s="227" t="s">
        <v>330</v>
      </c>
      <c r="C10" s="228"/>
      <c r="D10" s="229">
        <f>建设投资!E26+建设投资!F26+建设投资!G26+建设投资!H26</f>
        <v>1615187.92762283</v>
      </c>
      <c r="E10" s="119"/>
      <c r="F10" s="119"/>
      <c r="G10" s="119"/>
      <c r="H10" s="119">
        <f>D10</f>
        <v>1615187.92762283</v>
      </c>
      <c r="I10" s="119">
        <f>H12</f>
        <v>1510739.10830322</v>
      </c>
      <c r="J10" s="119">
        <f t="shared" ref="J10:X10" si="3">I12</f>
        <v>1406290.28898361</v>
      </c>
      <c r="K10" s="119">
        <f t="shared" si="3"/>
        <v>1301841.469664</v>
      </c>
      <c r="L10" s="119">
        <f t="shared" si="3"/>
        <v>1197392.65034439</v>
      </c>
      <c r="M10" s="119">
        <f t="shared" si="3"/>
        <v>1092943.83102478</v>
      </c>
      <c r="N10" s="119">
        <f t="shared" si="3"/>
        <v>988495.011705174</v>
      </c>
      <c r="O10" s="119">
        <f t="shared" si="3"/>
        <v>884046.192385565</v>
      </c>
      <c r="P10" s="119">
        <f t="shared" si="3"/>
        <v>779597.373065955</v>
      </c>
      <c r="Q10" s="119">
        <f t="shared" si="3"/>
        <v>675148.553746345</v>
      </c>
      <c r="R10" s="119">
        <f t="shared" si="3"/>
        <v>570699.734426735</v>
      </c>
      <c r="S10" s="119">
        <f t="shared" si="3"/>
        <v>466250.915107125</v>
      </c>
      <c r="T10" s="119">
        <f t="shared" si="3"/>
        <v>361802.095787515</v>
      </c>
      <c r="U10" s="119">
        <f t="shared" si="3"/>
        <v>257353.276467905</v>
      </c>
      <c r="V10" s="119">
        <f t="shared" si="3"/>
        <v>152904.457148295</v>
      </c>
      <c r="W10" s="119">
        <f t="shared" si="3"/>
        <v>48455.6378286854</v>
      </c>
      <c r="X10" s="119">
        <f t="shared" si="3"/>
        <v>0</v>
      </c>
    </row>
    <row r="11" ht="18" customHeight="1" spans="1:24">
      <c r="A11" s="8"/>
      <c r="B11" s="230" t="s">
        <v>331</v>
      </c>
      <c r="C11" s="231"/>
      <c r="D11" s="232" t="s">
        <v>334</v>
      </c>
      <c r="E11" s="119"/>
      <c r="F11" s="119"/>
      <c r="G11" s="119"/>
      <c r="H11" s="119">
        <f>D10*(1-3%)/15</f>
        <v>104448.81931961</v>
      </c>
      <c r="I11" s="119">
        <f>$H$11</f>
        <v>104448.81931961</v>
      </c>
      <c r="J11" s="119">
        <f t="shared" ref="J11:V11" si="4">$H$11</f>
        <v>104448.81931961</v>
      </c>
      <c r="K11" s="119">
        <f t="shared" si="4"/>
        <v>104448.81931961</v>
      </c>
      <c r="L11" s="119">
        <f t="shared" si="4"/>
        <v>104448.81931961</v>
      </c>
      <c r="M11" s="119">
        <f t="shared" si="4"/>
        <v>104448.81931961</v>
      </c>
      <c r="N11" s="119">
        <f t="shared" si="4"/>
        <v>104448.81931961</v>
      </c>
      <c r="O11" s="119">
        <f t="shared" si="4"/>
        <v>104448.81931961</v>
      </c>
      <c r="P11" s="119">
        <f t="shared" si="4"/>
        <v>104448.81931961</v>
      </c>
      <c r="Q11" s="119">
        <f t="shared" si="4"/>
        <v>104448.81931961</v>
      </c>
      <c r="R11" s="119">
        <f t="shared" si="4"/>
        <v>104448.81931961</v>
      </c>
      <c r="S11" s="119">
        <f t="shared" si="4"/>
        <v>104448.81931961</v>
      </c>
      <c r="T11" s="119">
        <f t="shared" si="4"/>
        <v>104448.81931961</v>
      </c>
      <c r="U11" s="119">
        <f t="shared" si="4"/>
        <v>104448.81931961</v>
      </c>
      <c r="V11" s="119">
        <f t="shared" si="4"/>
        <v>104448.81931961</v>
      </c>
      <c r="W11" s="119">
        <f>W10</f>
        <v>48455.6378286854</v>
      </c>
      <c r="X11" s="119">
        <f>X10</f>
        <v>0</v>
      </c>
    </row>
    <row r="12" spans="1:24">
      <c r="A12" s="8"/>
      <c r="B12" s="233" t="s">
        <v>332</v>
      </c>
      <c r="C12" s="234"/>
      <c r="D12" s="232"/>
      <c r="E12" s="119"/>
      <c r="F12" s="119"/>
      <c r="G12" s="119"/>
      <c r="H12" s="119">
        <f>H10-H11</f>
        <v>1510739.10830322</v>
      </c>
      <c r="I12" s="119">
        <f t="shared" ref="I12:X12" si="5">I10-I11</f>
        <v>1406290.28898361</v>
      </c>
      <c r="J12" s="119">
        <f t="shared" si="5"/>
        <v>1301841.469664</v>
      </c>
      <c r="K12" s="119">
        <f t="shared" si="5"/>
        <v>1197392.65034439</v>
      </c>
      <c r="L12" s="119">
        <f t="shared" si="5"/>
        <v>1092943.83102478</v>
      </c>
      <c r="M12" s="119">
        <f t="shared" si="5"/>
        <v>988495.011705174</v>
      </c>
      <c r="N12" s="119">
        <f t="shared" si="5"/>
        <v>884046.192385565</v>
      </c>
      <c r="O12" s="119">
        <f t="shared" si="5"/>
        <v>779597.373065955</v>
      </c>
      <c r="P12" s="119">
        <f t="shared" si="5"/>
        <v>675148.553746345</v>
      </c>
      <c r="Q12" s="119">
        <f t="shared" si="5"/>
        <v>570699.734426735</v>
      </c>
      <c r="R12" s="119">
        <f t="shared" si="5"/>
        <v>466250.915107125</v>
      </c>
      <c r="S12" s="119">
        <f t="shared" si="5"/>
        <v>361802.095787515</v>
      </c>
      <c r="T12" s="119">
        <f t="shared" si="5"/>
        <v>257353.276467905</v>
      </c>
      <c r="U12" s="119">
        <f t="shared" si="5"/>
        <v>152904.457148295</v>
      </c>
      <c r="V12" s="119">
        <f t="shared" si="5"/>
        <v>48455.6378286854</v>
      </c>
      <c r="W12" s="119">
        <f t="shared" si="5"/>
        <v>0</v>
      </c>
      <c r="X12" s="119">
        <f t="shared" si="5"/>
        <v>0</v>
      </c>
    </row>
    <row r="13" ht="23.25" customHeight="1" spans="1:24">
      <c r="A13" s="5">
        <v>2</v>
      </c>
      <c r="B13" s="235" t="s">
        <v>335</v>
      </c>
      <c r="C13" s="236"/>
      <c r="D13" s="229">
        <f>建设投资!I18</f>
        <v>34660</v>
      </c>
      <c r="E13" s="119"/>
      <c r="F13" s="119"/>
      <c r="G13" s="119"/>
      <c r="H13" s="119">
        <f>D13</f>
        <v>34660</v>
      </c>
      <c r="I13" s="119">
        <f>H15</f>
        <v>31194</v>
      </c>
      <c r="J13" s="119">
        <f t="shared" ref="J13:Q13" si="6">I15</f>
        <v>27728</v>
      </c>
      <c r="K13" s="119">
        <f t="shared" si="6"/>
        <v>24262</v>
      </c>
      <c r="L13" s="119">
        <f t="shared" si="6"/>
        <v>20796</v>
      </c>
      <c r="M13" s="119">
        <f t="shared" si="6"/>
        <v>17330</v>
      </c>
      <c r="N13" s="119">
        <f t="shared" si="6"/>
        <v>13864</v>
      </c>
      <c r="O13" s="119">
        <f t="shared" si="6"/>
        <v>10398</v>
      </c>
      <c r="P13" s="119">
        <f t="shared" si="6"/>
        <v>6932</v>
      </c>
      <c r="Q13" s="119">
        <f t="shared" si="6"/>
        <v>3466</v>
      </c>
      <c r="R13" s="119">
        <f t="shared" ref="R13" si="7">Q15</f>
        <v>0</v>
      </c>
      <c r="S13" s="119">
        <f t="shared" ref="S13" si="8">R15</f>
        <v>0</v>
      </c>
      <c r="T13" s="119">
        <f t="shared" ref="T13" si="9">S15</f>
        <v>0</v>
      </c>
      <c r="U13" s="119">
        <f t="shared" ref="U13" si="10">T15</f>
        <v>0</v>
      </c>
      <c r="V13" s="119">
        <f t="shared" ref="V13" si="11">U15</f>
        <v>0</v>
      </c>
      <c r="W13" s="119">
        <f t="shared" ref="W13" si="12">V15</f>
        <v>0</v>
      </c>
      <c r="X13" s="119">
        <f t="shared" ref="X13" si="13">W15</f>
        <v>0</v>
      </c>
    </row>
    <row r="14" spans="1:24">
      <c r="A14" s="8"/>
      <c r="B14" s="216" t="s">
        <v>336</v>
      </c>
      <c r="C14" s="217"/>
      <c r="D14" s="2">
        <f>D13/10</f>
        <v>3466</v>
      </c>
      <c r="E14" s="119"/>
      <c r="F14" s="119"/>
      <c r="G14" s="119"/>
      <c r="H14" s="119">
        <f>$D$14</f>
        <v>3466</v>
      </c>
      <c r="I14" s="119">
        <f t="shared" ref="I14:Q14" si="14">$D$14</f>
        <v>3466</v>
      </c>
      <c r="J14" s="119">
        <f t="shared" si="14"/>
        <v>3466</v>
      </c>
      <c r="K14" s="119">
        <f t="shared" si="14"/>
        <v>3466</v>
      </c>
      <c r="L14" s="119">
        <f t="shared" si="14"/>
        <v>3466</v>
      </c>
      <c r="M14" s="119">
        <f t="shared" si="14"/>
        <v>3466</v>
      </c>
      <c r="N14" s="119">
        <f t="shared" si="14"/>
        <v>3466</v>
      </c>
      <c r="O14" s="119">
        <f t="shared" si="14"/>
        <v>3466</v>
      </c>
      <c r="P14" s="119">
        <f t="shared" si="14"/>
        <v>3466</v>
      </c>
      <c r="Q14" s="119">
        <f t="shared" si="14"/>
        <v>3466</v>
      </c>
      <c r="R14" s="119"/>
      <c r="S14" s="119"/>
      <c r="T14" s="119"/>
      <c r="U14" s="119"/>
      <c r="V14" s="119"/>
      <c r="W14" s="119"/>
      <c r="X14" s="119"/>
    </row>
    <row r="15" spans="1:24">
      <c r="A15" s="9"/>
      <c r="B15" s="216" t="s">
        <v>337</v>
      </c>
      <c r="C15" s="217"/>
      <c r="D15" s="2"/>
      <c r="E15" s="119"/>
      <c r="F15" s="119"/>
      <c r="G15" s="119"/>
      <c r="H15" s="119">
        <f>H13-H14</f>
        <v>31194</v>
      </c>
      <c r="I15" s="119">
        <f t="shared" ref="I15:X15" si="15">I13-I14</f>
        <v>27728</v>
      </c>
      <c r="J15" s="119">
        <f t="shared" si="15"/>
        <v>24262</v>
      </c>
      <c r="K15" s="119">
        <f t="shared" si="15"/>
        <v>20796</v>
      </c>
      <c r="L15" s="119">
        <f t="shared" si="15"/>
        <v>17330</v>
      </c>
      <c r="M15" s="119">
        <f t="shared" si="15"/>
        <v>13864</v>
      </c>
      <c r="N15" s="119">
        <f t="shared" si="15"/>
        <v>10398</v>
      </c>
      <c r="O15" s="119">
        <f t="shared" si="15"/>
        <v>6932</v>
      </c>
      <c r="P15" s="119">
        <f t="shared" si="15"/>
        <v>3466</v>
      </c>
      <c r="Q15" s="119">
        <f t="shared" si="15"/>
        <v>0</v>
      </c>
      <c r="R15" s="119">
        <f t="shared" si="15"/>
        <v>0</v>
      </c>
      <c r="S15" s="119">
        <f t="shared" si="15"/>
        <v>0</v>
      </c>
      <c r="T15" s="119">
        <f t="shared" si="15"/>
        <v>0</v>
      </c>
      <c r="U15" s="119">
        <f t="shared" si="15"/>
        <v>0</v>
      </c>
      <c r="V15" s="119">
        <f t="shared" si="15"/>
        <v>0</v>
      </c>
      <c r="W15" s="119">
        <f t="shared" si="15"/>
        <v>0</v>
      </c>
      <c r="X15" s="119">
        <f t="shared" si="15"/>
        <v>0</v>
      </c>
    </row>
    <row r="16" ht="15.75" customHeight="1" spans="1:24">
      <c r="A16" s="5">
        <v>3</v>
      </c>
      <c r="B16" s="237" t="s">
        <v>338</v>
      </c>
      <c r="C16" s="238"/>
      <c r="D16" s="229">
        <f>建设投资!H19</f>
        <v>8299</v>
      </c>
      <c r="E16" s="119"/>
      <c r="F16" s="119"/>
      <c r="G16" s="119"/>
      <c r="H16" s="119">
        <f>D16</f>
        <v>8299</v>
      </c>
      <c r="I16" s="119">
        <f>H18</f>
        <v>6639.2</v>
      </c>
      <c r="J16" s="119">
        <f t="shared" ref="J16:L16" si="16">I18</f>
        <v>4979.4</v>
      </c>
      <c r="K16" s="119">
        <f t="shared" si="16"/>
        <v>3319.6</v>
      </c>
      <c r="L16" s="119">
        <f t="shared" si="16"/>
        <v>1659.8</v>
      </c>
      <c r="M16" s="119">
        <f t="shared" ref="M16" si="17">L18</f>
        <v>0</v>
      </c>
      <c r="N16" s="119">
        <f t="shared" ref="N16" si="18">M18</f>
        <v>0</v>
      </c>
      <c r="O16" s="119">
        <f t="shared" ref="O16" si="19">N18</f>
        <v>0</v>
      </c>
      <c r="P16" s="119">
        <f t="shared" ref="P16" si="20">O18</f>
        <v>0</v>
      </c>
      <c r="Q16" s="119">
        <f t="shared" ref="Q16" si="21">P18</f>
        <v>0</v>
      </c>
      <c r="R16" s="119">
        <f t="shared" ref="R16" si="22">Q18</f>
        <v>0</v>
      </c>
      <c r="S16" s="119">
        <f t="shared" ref="S16" si="23">R18</f>
        <v>0</v>
      </c>
      <c r="T16" s="119">
        <f t="shared" ref="T16" si="24">S18</f>
        <v>0</v>
      </c>
      <c r="U16" s="119">
        <f t="shared" ref="U16" si="25">T18</f>
        <v>0</v>
      </c>
      <c r="V16" s="119">
        <f t="shared" ref="V16" si="26">U18</f>
        <v>0</v>
      </c>
      <c r="W16" s="119">
        <f t="shared" ref="W16" si="27">V18</f>
        <v>0</v>
      </c>
      <c r="X16" s="119">
        <f t="shared" ref="X16" si="28">W18</f>
        <v>0</v>
      </c>
    </row>
    <row r="17" spans="1:24">
      <c r="A17" s="8"/>
      <c r="B17" s="216" t="s">
        <v>339</v>
      </c>
      <c r="C17" s="217"/>
      <c r="D17" s="2">
        <f>D16/5</f>
        <v>1659.8</v>
      </c>
      <c r="E17" s="119"/>
      <c r="F17" s="119"/>
      <c r="G17" s="119"/>
      <c r="H17" s="119">
        <f>$D$17</f>
        <v>1659.8</v>
      </c>
      <c r="I17" s="119">
        <f t="shared" ref="I17:L17" si="29">$D$17</f>
        <v>1659.8</v>
      </c>
      <c r="J17" s="119">
        <f t="shared" si="29"/>
        <v>1659.8</v>
      </c>
      <c r="K17" s="119">
        <f t="shared" si="29"/>
        <v>1659.8</v>
      </c>
      <c r="L17" s="119">
        <f t="shared" si="29"/>
        <v>1659.8</v>
      </c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</row>
    <row r="18" spans="1:24">
      <c r="A18" s="9"/>
      <c r="B18" s="216" t="s">
        <v>340</v>
      </c>
      <c r="C18" s="217"/>
      <c r="D18" s="2"/>
      <c r="E18" s="119"/>
      <c r="F18" s="119"/>
      <c r="G18" s="119"/>
      <c r="H18" s="119">
        <f>H16-H17</f>
        <v>6639.2</v>
      </c>
      <c r="I18" s="119">
        <f t="shared" ref="I18:X18" si="30">I16-I17</f>
        <v>4979.4</v>
      </c>
      <c r="J18" s="119">
        <f t="shared" si="30"/>
        <v>3319.6</v>
      </c>
      <c r="K18" s="119">
        <f t="shared" si="30"/>
        <v>1659.8</v>
      </c>
      <c r="L18" s="119">
        <f t="shared" si="30"/>
        <v>0</v>
      </c>
      <c r="M18" s="119">
        <f t="shared" si="30"/>
        <v>0</v>
      </c>
      <c r="N18" s="119">
        <f t="shared" si="30"/>
        <v>0</v>
      </c>
      <c r="O18" s="119">
        <f t="shared" si="30"/>
        <v>0</v>
      </c>
      <c r="P18" s="119">
        <f t="shared" si="30"/>
        <v>0</v>
      </c>
      <c r="Q18" s="119">
        <f t="shared" si="30"/>
        <v>0</v>
      </c>
      <c r="R18" s="119">
        <f t="shared" si="30"/>
        <v>0</v>
      </c>
      <c r="S18" s="119">
        <f t="shared" si="30"/>
        <v>0</v>
      </c>
      <c r="T18" s="119">
        <f t="shared" si="30"/>
        <v>0</v>
      </c>
      <c r="U18" s="119">
        <f t="shared" si="30"/>
        <v>0</v>
      </c>
      <c r="V18" s="119">
        <f t="shared" si="30"/>
        <v>0</v>
      </c>
      <c r="W18" s="119">
        <f t="shared" si="30"/>
        <v>0</v>
      </c>
      <c r="X18" s="119">
        <f t="shared" si="30"/>
        <v>0</v>
      </c>
    </row>
    <row r="19" ht="23.25" customHeight="1" spans="1:24">
      <c r="A19" s="3">
        <v>4</v>
      </c>
      <c r="B19" s="239" t="s">
        <v>341</v>
      </c>
      <c r="C19" s="240"/>
      <c r="D19" s="2"/>
      <c r="E19" s="119">
        <f t="shared" ref="E19:G19" si="31">E18+E15</f>
        <v>0</v>
      </c>
      <c r="F19" s="119">
        <f t="shared" si="31"/>
        <v>0</v>
      </c>
      <c r="G19" s="119">
        <f t="shared" si="31"/>
        <v>0</v>
      </c>
      <c r="H19" s="119">
        <f>H14+H17</f>
        <v>5125.8</v>
      </c>
      <c r="I19" s="119">
        <f t="shared" ref="I19:X19" si="32">I14+I17</f>
        <v>5125.8</v>
      </c>
      <c r="J19" s="119">
        <f t="shared" si="32"/>
        <v>5125.8</v>
      </c>
      <c r="K19" s="119">
        <f t="shared" si="32"/>
        <v>5125.8</v>
      </c>
      <c r="L19" s="119">
        <f t="shared" si="32"/>
        <v>5125.8</v>
      </c>
      <c r="M19" s="119">
        <f t="shared" si="32"/>
        <v>3466</v>
      </c>
      <c r="N19" s="119">
        <f t="shared" si="32"/>
        <v>3466</v>
      </c>
      <c r="O19" s="119">
        <f t="shared" si="32"/>
        <v>3466</v>
      </c>
      <c r="P19" s="119">
        <f t="shared" si="32"/>
        <v>3466</v>
      </c>
      <c r="Q19" s="119">
        <f t="shared" si="32"/>
        <v>3466</v>
      </c>
      <c r="R19" s="119">
        <f t="shared" si="32"/>
        <v>0</v>
      </c>
      <c r="S19" s="119">
        <f t="shared" si="32"/>
        <v>0</v>
      </c>
      <c r="T19" s="119">
        <f t="shared" si="32"/>
        <v>0</v>
      </c>
      <c r="U19" s="119">
        <f t="shared" si="32"/>
        <v>0</v>
      </c>
      <c r="V19" s="119">
        <f t="shared" si="32"/>
        <v>0</v>
      </c>
      <c r="W19" s="119">
        <f t="shared" si="32"/>
        <v>0</v>
      </c>
      <c r="X19" s="119">
        <f t="shared" si="32"/>
        <v>0</v>
      </c>
    </row>
    <row r="20" ht="28.5" customHeight="1" spans="1:24">
      <c r="A20" s="241">
        <v>5</v>
      </c>
      <c r="B20" s="242" t="s">
        <v>342</v>
      </c>
      <c r="C20" s="243"/>
      <c r="D20" s="169"/>
      <c r="E20" s="119"/>
      <c r="F20" s="119"/>
      <c r="G20" s="119"/>
      <c r="H20" s="119">
        <f t="shared" ref="H20:X20" si="33">H11+H19</f>
        <v>109574.61931961</v>
      </c>
      <c r="I20" s="119">
        <f t="shared" si="33"/>
        <v>109574.61931961</v>
      </c>
      <c r="J20" s="119">
        <f t="shared" si="33"/>
        <v>109574.61931961</v>
      </c>
      <c r="K20" s="119">
        <f t="shared" si="33"/>
        <v>109574.61931961</v>
      </c>
      <c r="L20" s="119">
        <f t="shared" si="33"/>
        <v>109574.61931961</v>
      </c>
      <c r="M20" s="119">
        <f t="shared" si="33"/>
        <v>107914.81931961</v>
      </c>
      <c r="N20" s="119">
        <f t="shared" si="33"/>
        <v>107914.81931961</v>
      </c>
      <c r="O20" s="119">
        <f t="shared" si="33"/>
        <v>107914.81931961</v>
      </c>
      <c r="P20" s="119">
        <f t="shared" si="33"/>
        <v>107914.81931961</v>
      </c>
      <c r="Q20" s="119">
        <f t="shared" si="33"/>
        <v>107914.81931961</v>
      </c>
      <c r="R20" s="119">
        <f t="shared" si="33"/>
        <v>104448.81931961</v>
      </c>
      <c r="S20" s="119">
        <f t="shared" si="33"/>
        <v>104448.81931961</v>
      </c>
      <c r="T20" s="119">
        <f t="shared" si="33"/>
        <v>104448.81931961</v>
      </c>
      <c r="U20" s="119">
        <f t="shared" si="33"/>
        <v>104448.81931961</v>
      </c>
      <c r="V20" s="119">
        <f t="shared" si="33"/>
        <v>104448.81931961</v>
      </c>
      <c r="W20" s="119">
        <f t="shared" si="33"/>
        <v>48455.6378286854</v>
      </c>
      <c r="X20" s="119">
        <f t="shared" si="33"/>
        <v>0</v>
      </c>
    </row>
    <row r="23" ht="24" customHeight="1" spans="2:7">
      <c r="B23" s="244" t="s">
        <v>343</v>
      </c>
      <c r="C23" s="245"/>
      <c r="D23" s="245"/>
      <c r="F23" s="232" t="s">
        <v>334</v>
      </c>
      <c r="G23" s="2"/>
    </row>
    <row r="25" spans="1:24">
      <c r="A25" s="2" t="s">
        <v>2</v>
      </c>
      <c r="B25" s="216" t="s">
        <v>3</v>
      </c>
      <c r="C25" s="217"/>
      <c r="D25" s="206"/>
      <c r="E25" s="206" t="s">
        <v>121</v>
      </c>
      <c r="F25" s="206" t="s">
        <v>122</v>
      </c>
      <c r="G25" s="206" t="s">
        <v>123</v>
      </c>
      <c r="H25" s="206" t="s">
        <v>140</v>
      </c>
      <c r="I25" s="206" t="s">
        <v>141</v>
      </c>
      <c r="J25" s="206" t="s">
        <v>142</v>
      </c>
      <c r="K25" s="206" t="s">
        <v>143</v>
      </c>
      <c r="L25" s="206" t="s">
        <v>144</v>
      </c>
      <c r="M25" s="206" t="s">
        <v>145</v>
      </c>
      <c r="N25" s="206" t="s">
        <v>146</v>
      </c>
      <c r="O25" s="206" t="s">
        <v>147</v>
      </c>
      <c r="P25" s="206" t="s">
        <v>148</v>
      </c>
      <c r="Q25" s="206" t="s">
        <v>149</v>
      </c>
      <c r="R25" s="2" t="s">
        <v>150</v>
      </c>
      <c r="S25" s="2" t="s">
        <v>151</v>
      </c>
      <c r="T25" s="2" t="s">
        <v>152</v>
      </c>
      <c r="U25" s="2" t="s">
        <v>153</v>
      </c>
      <c r="V25" s="2" t="s">
        <v>154</v>
      </c>
      <c r="W25" s="2" t="s">
        <v>155</v>
      </c>
      <c r="X25" s="2" t="s">
        <v>156</v>
      </c>
    </row>
    <row r="26" spans="1:24">
      <c r="A26" s="246"/>
      <c r="B26" s="227" t="s">
        <v>330</v>
      </c>
      <c r="C26" s="228"/>
      <c r="D26" s="229">
        <f>建设投资!E15+建设投资!F15+建设投资!G15</f>
        <v>1615961</v>
      </c>
      <c r="E26" s="119"/>
      <c r="F26" s="119"/>
      <c r="G26" s="119"/>
      <c r="H26" s="119">
        <f>H27+H30</f>
        <v>1615961</v>
      </c>
      <c r="I26" s="119">
        <f>H29</f>
        <v>1497280.724</v>
      </c>
      <c r="J26" s="119">
        <f t="shared" ref="J26" si="34">I29</f>
        <v>1378600.448</v>
      </c>
      <c r="K26" s="119">
        <f t="shared" ref="K26" si="35">J29</f>
        <v>1259920.172</v>
      </c>
      <c r="L26" s="119">
        <f t="shared" ref="L26" si="36">K29</f>
        <v>1141239.896</v>
      </c>
      <c r="M26" s="119">
        <f t="shared" ref="M26" si="37">L29</f>
        <v>1022559.62</v>
      </c>
      <c r="N26" s="119">
        <f t="shared" ref="N26" si="38">M29</f>
        <v>903879.344</v>
      </c>
      <c r="O26" s="119">
        <f t="shared" ref="O26" si="39">N29</f>
        <v>785199.068</v>
      </c>
      <c r="P26" s="119">
        <f t="shared" ref="P26" si="40">O29</f>
        <v>666518.792</v>
      </c>
      <c r="Q26" s="119">
        <f t="shared" ref="Q26:R26" si="41">P29</f>
        <v>547838.516</v>
      </c>
      <c r="R26" s="119">
        <f t="shared" si="41"/>
        <v>429158.24</v>
      </c>
      <c r="S26" s="119"/>
      <c r="T26" s="119">
        <f t="shared" ref="T26" si="42">S29</f>
        <v>0</v>
      </c>
      <c r="U26" s="119">
        <f t="shared" ref="U26" si="43">T29</f>
        <v>0</v>
      </c>
      <c r="V26" s="119">
        <f t="shared" ref="V26" si="44">U29</f>
        <v>0</v>
      </c>
      <c r="W26" s="119">
        <f t="shared" ref="W26" si="45">V29</f>
        <v>0</v>
      </c>
      <c r="X26" s="119">
        <f t="shared" ref="X26" si="46">W29</f>
        <v>0</v>
      </c>
    </row>
    <row r="27" spans="1:24">
      <c r="A27" s="247">
        <v>1</v>
      </c>
      <c r="B27" s="248" t="s">
        <v>344</v>
      </c>
      <c r="C27" s="249" t="s">
        <v>345</v>
      </c>
      <c r="D27" s="250">
        <f>建设投资!E15+建设投资!F15</f>
        <v>1223508</v>
      </c>
      <c r="E27" s="251"/>
      <c r="F27" s="251"/>
      <c r="G27" s="251"/>
      <c r="H27" s="251">
        <f>D27</f>
        <v>1223508</v>
      </c>
      <c r="I27" s="119">
        <f>H29</f>
        <v>1497280.724</v>
      </c>
      <c r="J27" s="119">
        <f t="shared" ref="J27:Q27" si="47">I29</f>
        <v>1378600.448</v>
      </c>
      <c r="K27" s="119">
        <f t="shared" si="47"/>
        <v>1259920.172</v>
      </c>
      <c r="L27" s="119">
        <f t="shared" si="47"/>
        <v>1141239.896</v>
      </c>
      <c r="M27" s="119">
        <f t="shared" si="47"/>
        <v>1022559.62</v>
      </c>
      <c r="N27" s="119">
        <f t="shared" si="47"/>
        <v>903879.344</v>
      </c>
      <c r="O27" s="119">
        <f t="shared" si="47"/>
        <v>785199.068</v>
      </c>
      <c r="P27" s="119">
        <f t="shared" si="47"/>
        <v>666518.792</v>
      </c>
      <c r="Q27" s="119">
        <f t="shared" si="47"/>
        <v>547838.516</v>
      </c>
      <c r="R27" s="119">
        <v>0</v>
      </c>
      <c r="S27" s="119"/>
      <c r="T27" s="119"/>
      <c r="U27" s="119"/>
      <c r="V27" s="119"/>
      <c r="W27" s="119"/>
      <c r="X27" s="119"/>
    </row>
    <row r="28" spans="1:24">
      <c r="A28" s="247"/>
      <c r="B28" s="252"/>
      <c r="C28" s="249" t="s">
        <v>331</v>
      </c>
      <c r="D28" s="253"/>
      <c r="E28" s="251"/>
      <c r="F28" s="251"/>
      <c r="G28" s="251"/>
      <c r="H28" s="251">
        <f>D27*(1-3%)/10</f>
        <v>118680.276</v>
      </c>
      <c r="I28" s="119">
        <f t="shared" ref="I28:Q28" si="48">$H$28</f>
        <v>118680.276</v>
      </c>
      <c r="J28" s="119">
        <f t="shared" si="48"/>
        <v>118680.276</v>
      </c>
      <c r="K28" s="119">
        <f t="shared" si="48"/>
        <v>118680.276</v>
      </c>
      <c r="L28" s="119">
        <f t="shared" si="48"/>
        <v>118680.276</v>
      </c>
      <c r="M28" s="119">
        <f t="shared" si="48"/>
        <v>118680.276</v>
      </c>
      <c r="N28" s="119">
        <f t="shared" si="48"/>
        <v>118680.276</v>
      </c>
      <c r="O28" s="119">
        <f t="shared" si="48"/>
        <v>118680.276</v>
      </c>
      <c r="P28" s="119">
        <f t="shared" si="48"/>
        <v>118680.276</v>
      </c>
      <c r="Q28" s="119">
        <f t="shared" si="48"/>
        <v>118680.276</v>
      </c>
      <c r="R28" s="119">
        <v>0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0</v>
      </c>
    </row>
    <row r="29" spans="1:24">
      <c r="A29" s="247"/>
      <c r="B29" s="254"/>
      <c r="C29" s="249" t="s">
        <v>332</v>
      </c>
      <c r="D29" s="255"/>
      <c r="E29" s="251"/>
      <c r="F29" s="251"/>
      <c r="G29" s="251"/>
      <c r="H29" s="251">
        <f t="shared" ref="H29:R29" si="49">H26-H28</f>
        <v>1497280.724</v>
      </c>
      <c r="I29" s="119">
        <f t="shared" si="49"/>
        <v>1378600.448</v>
      </c>
      <c r="J29" s="119">
        <f t="shared" si="49"/>
        <v>1259920.172</v>
      </c>
      <c r="K29" s="119">
        <f t="shared" si="49"/>
        <v>1141239.896</v>
      </c>
      <c r="L29" s="119">
        <f t="shared" si="49"/>
        <v>1022559.62</v>
      </c>
      <c r="M29" s="119">
        <f t="shared" si="49"/>
        <v>903879.344</v>
      </c>
      <c r="N29" s="119">
        <f t="shared" si="49"/>
        <v>785199.068</v>
      </c>
      <c r="O29" s="119">
        <f t="shared" si="49"/>
        <v>666518.792</v>
      </c>
      <c r="P29" s="119">
        <f t="shared" si="49"/>
        <v>547838.516</v>
      </c>
      <c r="Q29" s="119">
        <f t="shared" si="49"/>
        <v>429158.24</v>
      </c>
      <c r="R29" s="119">
        <f t="shared" si="49"/>
        <v>429158.24</v>
      </c>
      <c r="S29" s="119"/>
      <c r="T29" s="119"/>
      <c r="U29" s="119"/>
      <c r="V29" s="119"/>
      <c r="W29" s="119"/>
      <c r="X29" s="119"/>
    </row>
    <row r="30" spans="1:24">
      <c r="A30" s="256">
        <v>2</v>
      </c>
      <c r="B30" s="257" t="s">
        <v>346</v>
      </c>
      <c r="C30" s="258" t="s">
        <v>345</v>
      </c>
      <c r="D30" s="143">
        <f>建设投资!G15</f>
        <v>392453</v>
      </c>
      <c r="E30" s="259"/>
      <c r="F30" s="259"/>
      <c r="G30" s="259"/>
      <c r="H30" s="259">
        <f>D30</f>
        <v>392453</v>
      </c>
      <c r="I30" s="259">
        <f>H32</f>
        <v>373419.0295</v>
      </c>
      <c r="J30" s="259">
        <f t="shared" ref="J30:X30" si="50">I32</f>
        <v>354385.059</v>
      </c>
      <c r="K30" s="259">
        <f t="shared" si="50"/>
        <v>335351.0885</v>
      </c>
      <c r="L30" s="259">
        <f t="shared" si="50"/>
        <v>316317.118</v>
      </c>
      <c r="M30" s="259">
        <f t="shared" si="50"/>
        <v>297283.1475</v>
      </c>
      <c r="N30" s="259">
        <f t="shared" si="50"/>
        <v>278249.177</v>
      </c>
      <c r="O30" s="259">
        <f t="shared" si="50"/>
        <v>259215.2065</v>
      </c>
      <c r="P30" s="259">
        <f t="shared" si="50"/>
        <v>240181.236</v>
      </c>
      <c r="Q30" s="259">
        <f t="shared" si="50"/>
        <v>221147.2655</v>
      </c>
      <c r="R30" s="259">
        <f t="shared" si="50"/>
        <v>202113.295</v>
      </c>
      <c r="S30" s="259">
        <f t="shared" si="50"/>
        <v>183079.3245</v>
      </c>
      <c r="T30" s="259">
        <f t="shared" si="50"/>
        <v>164045.354</v>
      </c>
      <c r="U30" s="259">
        <f t="shared" si="50"/>
        <v>145011.3835</v>
      </c>
      <c r="V30" s="259">
        <f t="shared" si="50"/>
        <v>125977.413</v>
      </c>
      <c r="W30" s="259">
        <f t="shared" si="50"/>
        <v>106943.4425</v>
      </c>
      <c r="X30" s="259">
        <f t="shared" si="50"/>
        <v>87909.4720000001</v>
      </c>
    </row>
    <row r="31" spans="1:24">
      <c r="A31" s="256"/>
      <c r="B31" s="260"/>
      <c r="C31" s="261" t="s">
        <v>331</v>
      </c>
      <c r="D31" s="143"/>
      <c r="E31" s="259"/>
      <c r="F31" s="259"/>
      <c r="G31" s="259"/>
      <c r="H31" s="259">
        <f>D30*(1-3%)/20</f>
        <v>19033.9705</v>
      </c>
      <c r="I31" s="259">
        <f>$H31</f>
        <v>19033.9705</v>
      </c>
      <c r="J31" s="259">
        <f t="shared" ref="J31:X31" si="51">$H31</f>
        <v>19033.9705</v>
      </c>
      <c r="K31" s="259">
        <f t="shared" si="51"/>
        <v>19033.9705</v>
      </c>
      <c r="L31" s="259">
        <f t="shared" si="51"/>
        <v>19033.9705</v>
      </c>
      <c r="M31" s="259">
        <f t="shared" si="51"/>
        <v>19033.9705</v>
      </c>
      <c r="N31" s="259">
        <f t="shared" si="51"/>
        <v>19033.9705</v>
      </c>
      <c r="O31" s="259">
        <f t="shared" si="51"/>
        <v>19033.9705</v>
      </c>
      <c r="P31" s="259">
        <f t="shared" si="51"/>
        <v>19033.9705</v>
      </c>
      <c r="Q31" s="259">
        <f t="shared" si="51"/>
        <v>19033.9705</v>
      </c>
      <c r="R31" s="259">
        <f t="shared" si="51"/>
        <v>19033.9705</v>
      </c>
      <c r="S31" s="259">
        <f t="shared" si="51"/>
        <v>19033.9705</v>
      </c>
      <c r="T31" s="259">
        <f t="shared" si="51"/>
        <v>19033.9705</v>
      </c>
      <c r="U31" s="259">
        <f t="shared" si="51"/>
        <v>19033.9705</v>
      </c>
      <c r="V31" s="259">
        <f t="shared" si="51"/>
        <v>19033.9705</v>
      </c>
      <c r="W31" s="259">
        <f t="shared" si="51"/>
        <v>19033.9705</v>
      </c>
      <c r="X31" s="259">
        <f t="shared" si="51"/>
        <v>19033.9705</v>
      </c>
    </row>
    <row r="32" spans="1:24">
      <c r="A32" s="256"/>
      <c r="B32" s="260"/>
      <c r="C32" s="262" t="s">
        <v>332</v>
      </c>
      <c r="D32" s="263"/>
      <c r="E32" s="259"/>
      <c r="F32" s="259"/>
      <c r="G32" s="259"/>
      <c r="H32" s="259">
        <f>H30-H31</f>
        <v>373419.0295</v>
      </c>
      <c r="I32" s="259">
        <f t="shared" ref="I32:X32" si="52">I30-I31</f>
        <v>354385.059</v>
      </c>
      <c r="J32" s="259">
        <f t="shared" si="52"/>
        <v>335351.0885</v>
      </c>
      <c r="K32" s="259">
        <f t="shared" si="52"/>
        <v>316317.118</v>
      </c>
      <c r="L32" s="259">
        <f t="shared" si="52"/>
        <v>297283.1475</v>
      </c>
      <c r="M32" s="259">
        <f t="shared" si="52"/>
        <v>278249.177</v>
      </c>
      <c r="N32" s="259">
        <f t="shared" si="52"/>
        <v>259215.2065</v>
      </c>
      <c r="O32" s="259">
        <f t="shared" si="52"/>
        <v>240181.236</v>
      </c>
      <c r="P32" s="259">
        <f t="shared" si="52"/>
        <v>221147.2655</v>
      </c>
      <c r="Q32" s="259">
        <f t="shared" si="52"/>
        <v>202113.295</v>
      </c>
      <c r="R32" s="259">
        <f t="shared" si="52"/>
        <v>183079.3245</v>
      </c>
      <c r="S32" s="259">
        <f t="shared" si="52"/>
        <v>164045.354</v>
      </c>
      <c r="T32" s="259">
        <f t="shared" si="52"/>
        <v>145011.3835</v>
      </c>
      <c r="U32" s="259">
        <f t="shared" si="52"/>
        <v>125977.413</v>
      </c>
      <c r="V32" s="259">
        <f t="shared" si="52"/>
        <v>106943.4425</v>
      </c>
      <c r="W32" s="259">
        <f t="shared" si="52"/>
        <v>87909.4720000001</v>
      </c>
      <c r="X32" s="259">
        <f t="shared" si="52"/>
        <v>68875.5015000001</v>
      </c>
    </row>
    <row r="33" ht="18.75" customHeight="1" spans="1:24">
      <c r="A33" s="3">
        <v>3</v>
      </c>
      <c r="B33" s="3" t="s">
        <v>347</v>
      </c>
      <c r="C33" s="3"/>
      <c r="D33" s="2"/>
      <c r="E33" s="259"/>
      <c r="F33" s="259"/>
      <c r="G33" s="259"/>
      <c r="H33" s="259">
        <f>H31+H28</f>
        <v>137714.2465</v>
      </c>
      <c r="I33" s="259">
        <f t="shared" ref="I33:X33" si="53">I31+I28</f>
        <v>137714.2465</v>
      </c>
      <c r="J33" s="259">
        <f t="shared" si="53"/>
        <v>137714.2465</v>
      </c>
      <c r="K33" s="259">
        <f t="shared" si="53"/>
        <v>137714.2465</v>
      </c>
      <c r="L33" s="259">
        <f t="shared" si="53"/>
        <v>137714.2465</v>
      </c>
      <c r="M33" s="259">
        <f t="shared" si="53"/>
        <v>137714.2465</v>
      </c>
      <c r="N33" s="259">
        <f t="shared" si="53"/>
        <v>137714.2465</v>
      </c>
      <c r="O33" s="259">
        <f t="shared" si="53"/>
        <v>137714.2465</v>
      </c>
      <c r="P33" s="259">
        <f t="shared" si="53"/>
        <v>137714.2465</v>
      </c>
      <c r="Q33" s="259">
        <f t="shared" si="53"/>
        <v>137714.2465</v>
      </c>
      <c r="R33" s="259">
        <f t="shared" si="53"/>
        <v>19033.9705</v>
      </c>
      <c r="S33" s="259">
        <f t="shared" si="53"/>
        <v>19033.9705</v>
      </c>
      <c r="T33" s="259">
        <f t="shared" si="53"/>
        <v>19033.9705</v>
      </c>
      <c r="U33" s="259">
        <f t="shared" si="53"/>
        <v>19033.9705</v>
      </c>
      <c r="V33" s="259">
        <f t="shared" si="53"/>
        <v>19033.9705</v>
      </c>
      <c r="W33" s="259">
        <f t="shared" si="53"/>
        <v>19033.9705</v>
      </c>
      <c r="X33" s="259">
        <f t="shared" si="53"/>
        <v>19033.9705</v>
      </c>
    </row>
    <row r="34" spans="1:24">
      <c r="A34">
        <v>4</v>
      </c>
      <c r="B34" s="3" t="s">
        <v>348</v>
      </c>
      <c r="C34" s="3"/>
      <c r="D34" s="2"/>
      <c r="E34" s="2"/>
      <c r="F34" s="2"/>
      <c r="G34" s="2"/>
      <c r="H34" s="264">
        <f>H32+H29</f>
        <v>1870699.7535</v>
      </c>
      <c r="I34" s="264">
        <f t="shared" ref="I34:X34" si="54">I32+I29</f>
        <v>1732985.507</v>
      </c>
      <c r="J34" s="264">
        <f t="shared" si="54"/>
        <v>1595271.2605</v>
      </c>
      <c r="K34" s="264">
        <f t="shared" si="54"/>
        <v>1457557.014</v>
      </c>
      <c r="L34" s="264">
        <f t="shared" si="54"/>
        <v>1319842.7675</v>
      </c>
      <c r="M34" s="264">
        <f t="shared" si="54"/>
        <v>1182128.521</v>
      </c>
      <c r="N34" s="264">
        <f t="shared" si="54"/>
        <v>1044414.2745</v>
      </c>
      <c r="O34" s="264">
        <f t="shared" si="54"/>
        <v>906700.028</v>
      </c>
      <c r="P34" s="264">
        <f t="shared" si="54"/>
        <v>768985.7815</v>
      </c>
      <c r="Q34" s="264">
        <f t="shared" si="54"/>
        <v>631271.535</v>
      </c>
      <c r="R34" s="264">
        <f t="shared" si="54"/>
        <v>612237.5645</v>
      </c>
      <c r="S34" s="264">
        <f t="shared" si="54"/>
        <v>164045.354</v>
      </c>
      <c r="T34" s="264">
        <f t="shared" si="54"/>
        <v>145011.3835</v>
      </c>
      <c r="U34" s="264">
        <f t="shared" si="54"/>
        <v>125977.413</v>
      </c>
      <c r="V34" s="264">
        <f t="shared" si="54"/>
        <v>106943.4425</v>
      </c>
      <c r="W34" s="264">
        <f t="shared" si="54"/>
        <v>87909.4720000001</v>
      </c>
      <c r="X34" s="264">
        <f t="shared" si="54"/>
        <v>68875.5015000001</v>
      </c>
    </row>
  </sheetData>
  <mergeCells count="32">
    <mergeCell ref="M1:N1"/>
    <mergeCell ref="A3:L3"/>
    <mergeCell ref="B4:C4"/>
    <mergeCell ref="B5:C5"/>
    <mergeCell ref="B6:C6"/>
    <mergeCell ref="B7:C7"/>
    <mergeCell ref="A8:D8"/>
    <mergeCell ref="E8:G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5:C25"/>
    <mergeCell ref="B26:C26"/>
    <mergeCell ref="B33:C33"/>
    <mergeCell ref="B34:C34"/>
    <mergeCell ref="A10:A12"/>
    <mergeCell ref="A13:A15"/>
    <mergeCell ref="A16:A18"/>
    <mergeCell ref="A27:A29"/>
    <mergeCell ref="A30:A32"/>
    <mergeCell ref="B27:B29"/>
    <mergeCell ref="B30:B32"/>
    <mergeCell ref="A1:H2"/>
  </mergeCells>
  <dataValidations count="1">
    <dataValidation type="whole" operator="between" allowBlank="1" showInputMessage="1" promptTitle="选择折旧方法" prompt="平均年限法 1&#10;分类计提法 2" sqref="O1">
      <formula1>R1</formula1>
      <formula2>R2</formula2>
    </dataValidation>
  </dataValidations>
  <hyperlinks>
    <hyperlink ref="A1" location="目录!A1" display="折旧摊销"/>
  </hyperlinks>
  <pageMargins left="0.7" right="0.7" top="0.75" bottom="0.75" header="0.3" footer="0.3"/>
  <pageSetup paperSize="9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92D050"/>
  </sheetPr>
  <dimension ref="A1:W44"/>
  <sheetViews>
    <sheetView topLeftCell="A22" workbookViewId="0">
      <selection activeCell="B44" sqref="B44"/>
    </sheetView>
  </sheetViews>
  <sheetFormatPr defaultColWidth="9" defaultRowHeight="14"/>
  <cols>
    <col min="1" max="1" width="5.87272727272727" customWidth="1"/>
    <col min="2" max="2" width="14.2545454545455" customWidth="1"/>
    <col min="3" max="3" width="13.5" customWidth="1"/>
    <col min="4" max="5" width="7.87272727272727" customWidth="1"/>
    <col min="6" max="6" width="7.62727272727273" customWidth="1"/>
    <col min="7" max="23" width="7.87272727272727" customWidth="1"/>
  </cols>
  <sheetData>
    <row r="1" ht="30" customHeight="1" spans="1:12">
      <c r="A1" s="151" t="s">
        <v>349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ht="53.25" customHeight="1" spans="1:14">
      <c r="A2" s="152" t="s">
        <v>350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N2" s="208"/>
    </row>
    <row r="3" ht="48" customHeight="1" spans="1:13">
      <c r="A3" s="153" t="s">
        <v>351</v>
      </c>
      <c r="B3" s="154"/>
      <c r="C3" s="155"/>
      <c r="D3" s="156">
        <v>0.049</v>
      </c>
      <c r="E3" s="157" t="s">
        <v>352</v>
      </c>
      <c r="F3" s="156">
        <v>0.0435</v>
      </c>
      <c r="G3" s="157" t="s">
        <v>353</v>
      </c>
      <c r="H3" s="158">
        <v>7</v>
      </c>
      <c r="I3" s="158" t="s">
        <v>47</v>
      </c>
      <c r="J3" s="157" t="s">
        <v>59</v>
      </c>
      <c r="K3" s="158" t="s">
        <v>60</v>
      </c>
      <c r="L3" s="209" t="s">
        <v>354</v>
      </c>
      <c r="M3" s="210"/>
    </row>
    <row r="4" ht="8.25" customHeight="1" spans="1:23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</row>
    <row r="5" ht="21.75" customHeight="1" spans="1:23">
      <c r="A5" s="161" t="s">
        <v>2</v>
      </c>
      <c r="B5" s="162" t="s">
        <v>3</v>
      </c>
      <c r="C5" s="163"/>
      <c r="D5" s="164" t="s">
        <v>121</v>
      </c>
      <c r="E5" s="164" t="s">
        <v>122</v>
      </c>
      <c r="F5" s="164" t="s">
        <v>123</v>
      </c>
      <c r="G5" s="164">
        <v>4</v>
      </c>
      <c r="H5" s="164">
        <v>5</v>
      </c>
      <c r="I5" s="164">
        <v>6</v>
      </c>
      <c r="J5" s="164">
        <v>7</v>
      </c>
      <c r="K5" s="164">
        <v>8</v>
      </c>
      <c r="L5" s="164">
        <v>9</v>
      </c>
      <c r="M5" s="164">
        <v>10</v>
      </c>
      <c r="N5" s="164">
        <v>11</v>
      </c>
      <c r="O5" s="164">
        <v>12</v>
      </c>
      <c r="P5" s="164">
        <v>13</v>
      </c>
      <c r="Q5" s="164">
        <v>14</v>
      </c>
      <c r="R5" s="164">
        <v>15</v>
      </c>
      <c r="S5" s="164">
        <v>16</v>
      </c>
      <c r="T5" s="164">
        <v>17</v>
      </c>
      <c r="U5" s="164">
        <v>18</v>
      </c>
      <c r="V5" s="164">
        <v>19</v>
      </c>
      <c r="W5" s="164">
        <v>20</v>
      </c>
    </row>
    <row r="6" spans="1:23">
      <c r="A6" s="5">
        <v>1</v>
      </c>
      <c r="B6" s="5" t="s">
        <v>355</v>
      </c>
      <c r="C6" s="2" t="s">
        <v>356</v>
      </c>
      <c r="D6" s="165">
        <f>' 资金筹措'!E11</f>
        <v>0</v>
      </c>
      <c r="E6" s="165">
        <f>' 资金筹措'!F11</f>
        <v>293604.50889</v>
      </c>
      <c r="F6" s="165">
        <f>' 资金筹措'!G11</f>
        <v>895200.14760561</v>
      </c>
      <c r="G6" s="165">
        <f>' 资金筹措'!H11</f>
        <v>1526273.97261829</v>
      </c>
      <c r="H6" s="166">
        <f t="shared" ref="H6:W9" si="0">IF($A$15=1,H15,H19)</f>
        <v>1338246.11494401</v>
      </c>
      <c r="I6" s="166">
        <f t="shared" si="0"/>
        <v>1141004.89224369</v>
      </c>
      <c r="J6" s="166">
        <f t="shared" si="0"/>
        <v>934098.849631054</v>
      </c>
      <c r="K6" s="166">
        <f t="shared" si="0"/>
        <v>717054.4109304</v>
      </c>
      <c r="L6" s="166">
        <f t="shared" si="0"/>
        <v>489374.794733415</v>
      </c>
      <c r="M6" s="166">
        <f t="shared" si="0"/>
        <v>250538.877342778</v>
      </c>
      <c r="N6" s="166">
        <f t="shared" si="0"/>
        <v>0</v>
      </c>
      <c r="O6" s="166">
        <f t="shared" si="0"/>
        <v>0</v>
      </c>
      <c r="P6" s="166">
        <f t="shared" si="0"/>
        <v>0</v>
      </c>
      <c r="Q6" s="166">
        <f t="shared" si="0"/>
        <v>0</v>
      </c>
      <c r="R6" s="166">
        <f t="shared" si="0"/>
        <v>0</v>
      </c>
      <c r="S6" s="166">
        <f t="shared" si="0"/>
        <v>0</v>
      </c>
      <c r="T6" s="166">
        <f t="shared" si="0"/>
        <v>0</v>
      </c>
      <c r="U6" s="166">
        <f t="shared" si="0"/>
        <v>0</v>
      </c>
      <c r="V6" s="166">
        <f t="shared" si="0"/>
        <v>0</v>
      </c>
      <c r="W6" s="166">
        <f t="shared" si="0"/>
        <v>0</v>
      </c>
    </row>
    <row r="7" spans="1:23">
      <c r="A7" s="8"/>
      <c r="B7" s="8"/>
      <c r="C7" s="2" t="s">
        <v>357</v>
      </c>
      <c r="D7" s="167">
        <v>0</v>
      </c>
      <c r="E7" s="167">
        <v>0</v>
      </c>
      <c r="F7" s="167">
        <v>0</v>
      </c>
      <c r="G7" s="166">
        <f>IF($A$15=1,G16,G20)</f>
        <v>262815.282332575</v>
      </c>
      <c r="H7" s="166">
        <f t="shared" si="0"/>
        <v>262815.282332575</v>
      </c>
      <c r="I7" s="166">
        <f t="shared" si="0"/>
        <v>262815.282332575</v>
      </c>
      <c r="J7" s="166">
        <f t="shared" si="0"/>
        <v>262815.282332575</v>
      </c>
      <c r="K7" s="166">
        <f t="shared" si="0"/>
        <v>262815.282332575</v>
      </c>
      <c r="L7" s="166">
        <f t="shared" si="0"/>
        <v>262815.282332575</v>
      </c>
      <c r="M7" s="166">
        <f t="shared" si="0"/>
        <v>262815.282332574</v>
      </c>
      <c r="N7" s="166">
        <f t="shared" si="0"/>
        <v>0</v>
      </c>
      <c r="O7" s="166">
        <f t="shared" si="0"/>
        <v>0</v>
      </c>
      <c r="P7" s="166">
        <f t="shared" si="0"/>
        <v>0</v>
      </c>
      <c r="Q7" s="166">
        <f t="shared" si="0"/>
        <v>0</v>
      </c>
      <c r="R7" s="166">
        <f t="shared" si="0"/>
        <v>0</v>
      </c>
      <c r="S7" s="166">
        <f t="shared" si="0"/>
        <v>0</v>
      </c>
      <c r="T7" s="166">
        <f t="shared" si="0"/>
        <v>0</v>
      </c>
      <c r="U7" s="166">
        <f t="shared" si="0"/>
        <v>0</v>
      </c>
      <c r="V7" s="166">
        <f t="shared" si="0"/>
        <v>0</v>
      </c>
      <c r="W7" s="166">
        <f t="shared" si="0"/>
        <v>0</v>
      </c>
    </row>
    <row r="8" spans="1:23">
      <c r="A8" s="8"/>
      <c r="B8" s="8"/>
      <c r="C8" s="2" t="s">
        <v>358</v>
      </c>
      <c r="D8" s="167">
        <v>0</v>
      </c>
      <c r="E8" s="167">
        <v>0</v>
      </c>
      <c r="F8" s="167">
        <v>0</v>
      </c>
      <c r="G8" s="166">
        <f t="shared" ref="G8:V9" si="1">IF($A$15=1,G17,G21)</f>
        <v>188027.857674279</v>
      </c>
      <c r="H8" s="166">
        <f t="shared" si="1"/>
        <v>197241.222700318</v>
      </c>
      <c r="I8" s="166">
        <f t="shared" si="1"/>
        <v>206906.042612634</v>
      </c>
      <c r="J8" s="166">
        <f t="shared" si="1"/>
        <v>217044.438700653</v>
      </c>
      <c r="K8" s="166">
        <f t="shared" si="1"/>
        <v>227679.616196985</v>
      </c>
      <c r="L8" s="166">
        <f t="shared" si="1"/>
        <v>238835.917390637</v>
      </c>
      <c r="M8" s="166">
        <f t="shared" si="1"/>
        <v>250538.877342778</v>
      </c>
      <c r="N8" s="166">
        <f t="shared" si="1"/>
        <v>0</v>
      </c>
      <c r="O8" s="166">
        <f t="shared" si="1"/>
        <v>0</v>
      </c>
      <c r="P8" s="166">
        <f t="shared" si="1"/>
        <v>0</v>
      </c>
      <c r="Q8" s="166">
        <f t="shared" si="1"/>
        <v>0</v>
      </c>
      <c r="R8" s="166">
        <f t="shared" si="1"/>
        <v>0</v>
      </c>
      <c r="S8" s="166">
        <f t="shared" si="1"/>
        <v>0</v>
      </c>
      <c r="T8" s="166">
        <f t="shared" si="1"/>
        <v>0</v>
      </c>
      <c r="U8" s="166">
        <f t="shared" si="1"/>
        <v>0</v>
      </c>
      <c r="V8" s="166">
        <f t="shared" si="1"/>
        <v>0</v>
      </c>
      <c r="W8" s="166">
        <f t="shared" si="0"/>
        <v>0</v>
      </c>
    </row>
    <row r="9" spans="1:23">
      <c r="A9" s="9"/>
      <c r="B9" s="9"/>
      <c r="C9" s="2" t="s">
        <v>359</v>
      </c>
      <c r="D9" s="167">
        <f>' 资金筹措'!E10*$A$24</f>
        <v>0</v>
      </c>
      <c r="E9" s="167">
        <f>' 资金筹措'!F10*$A$24</f>
        <v>0</v>
      </c>
      <c r="F9" s="167">
        <f>' 资金筹措'!G10*$A$24</f>
        <v>0</v>
      </c>
      <c r="G9" s="166">
        <f t="shared" si="1"/>
        <v>74787.424658296</v>
      </c>
      <c r="H9" s="166">
        <f t="shared" si="0"/>
        <v>65574.0596322563</v>
      </c>
      <c r="I9" s="166">
        <f t="shared" si="0"/>
        <v>55909.2397199407</v>
      </c>
      <c r="J9" s="166">
        <f t="shared" si="0"/>
        <v>45770.8436319216</v>
      </c>
      <c r="K9" s="166">
        <f t="shared" si="0"/>
        <v>35135.6661355896</v>
      </c>
      <c r="L9" s="166">
        <f t="shared" si="0"/>
        <v>23979.3649419374</v>
      </c>
      <c r="M9" s="166">
        <f t="shared" si="0"/>
        <v>12276.4049897961</v>
      </c>
      <c r="N9" s="166">
        <f t="shared" si="0"/>
        <v>0</v>
      </c>
      <c r="O9" s="166">
        <f t="shared" si="0"/>
        <v>0</v>
      </c>
      <c r="P9" s="166">
        <f t="shared" si="0"/>
        <v>0</v>
      </c>
      <c r="Q9" s="166">
        <f t="shared" si="0"/>
        <v>0</v>
      </c>
      <c r="R9" s="166">
        <f t="shared" si="0"/>
        <v>0</v>
      </c>
      <c r="S9" s="166">
        <f t="shared" si="0"/>
        <v>0</v>
      </c>
      <c r="T9" s="166">
        <f t="shared" si="0"/>
        <v>0</v>
      </c>
      <c r="U9" s="166">
        <f t="shared" si="0"/>
        <v>0</v>
      </c>
      <c r="V9" s="166">
        <f t="shared" si="0"/>
        <v>0</v>
      </c>
      <c r="W9" s="166">
        <f t="shared" si="0"/>
        <v>0</v>
      </c>
    </row>
    <row r="10" spans="1:23">
      <c r="A10" s="168">
        <v>2</v>
      </c>
      <c r="B10" s="168" t="s">
        <v>360</v>
      </c>
      <c r="C10" s="169" t="s">
        <v>21</v>
      </c>
      <c r="D10" s="170">
        <f>流动资金!E24</f>
        <v>0</v>
      </c>
      <c r="E10" s="170">
        <f>流动资金!F24</f>
        <v>0</v>
      </c>
      <c r="F10" s="170">
        <f>流动资金!G24</f>
        <v>0</v>
      </c>
      <c r="G10" s="170">
        <f>流动资金!H24</f>
        <v>15757.0363783647</v>
      </c>
      <c r="H10" s="170">
        <f>流动资金!I24</f>
        <v>17248.7140702064</v>
      </c>
      <c r="I10" s="170">
        <f>流动资金!J24</f>
        <v>17248.7140702064</v>
      </c>
      <c r="J10" s="170">
        <f>流动资金!K24</f>
        <v>17248.7140702064</v>
      </c>
      <c r="K10" s="170">
        <f>流动资金!L24</f>
        <v>17248.7140702064</v>
      </c>
      <c r="L10" s="170">
        <f>流动资金!M24</f>
        <v>17248.7140702064</v>
      </c>
      <c r="M10" s="170">
        <f>流动资金!N24</f>
        <v>17248.7140702064</v>
      </c>
      <c r="N10" s="170">
        <f>流动资金!O24</f>
        <v>17248.7140702064</v>
      </c>
      <c r="O10" s="170">
        <f>流动资金!P24</f>
        <v>17248.7140702064</v>
      </c>
      <c r="P10" s="170">
        <f>流动资金!Q24</f>
        <v>17248.7140702064</v>
      </c>
      <c r="Q10" s="170">
        <f>流动资金!R24</f>
        <v>17248.7140702064</v>
      </c>
      <c r="R10" s="170">
        <f>流动资金!S24</f>
        <v>17248.7140702064</v>
      </c>
      <c r="S10" s="170">
        <f>流动资金!T24</f>
        <v>17248.7140702064</v>
      </c>
      <c r="T10" s="170">
        <f>流动资金!U24</f>
        <v>17248.7140702064</v>
      </c>
      <c r="U10" s="170">
        <f>流动资金!V24</f>
        <v>17248.7140702064</v>
      </c>
      <c r="V10" s="170">
        <f>流动资金!W24</f>
        <v>17248.7140702064</v>
      </c>
      <c r="W10" s="170">
        <f>流动资金!X24</f>
        <v>17248.7140702064</v>
      </c>
    </row>
    <row r="11" spans="1:23">
      <c r="A11" s="171"/>
      <c r="B11" s="171"/>
      <c r="C11" s="169" t="s">
        <v>356</v>
      </c>
      <c r="D11" s="170">
        <f>D10*70%</f>
        <v>0</v>
      </c>
      <c r="E11" s="170">
        <f t="shared" ref="E11:W11" si="2">E10*70%</f>
        <v>0</v>
      </c>
      <c r="F11" s="170">
        <f t="shared" si="2"/>
        <v>0</v>
      </c>
      <c r="G11" s="170">
        <f t="shared" si="2"/>
        <v>11029.9254648553</v>
      </c>
      <c r="H11" s="170">
        <f t="shared" si="2"/>
        <v>12074.0998491445</v>
      </c>
      <c r="I11" s="170">
        <f t="shared" si="2"/>
        <v>12074.0998491445</v>
      </c>
      <c r="J11" s="170">
        <f t="shared" si="2"/>
        <v>12074.0998491445</v>
      </c>
      <c r="K11" s="170">
        <f t="shared" si="2"/>
        <v>12074.0998491445</v>
      </c>
      <c r="L11" s="170">
        <f t="shared" si="2"/>
        <v>12074.0998491445</v>
      </c>
      <c r="M11" s="170">
        <f t="shared" si="2"/>
        <v>12074.0998491445</v>
      </c>
      <c r="N11" s="170">
        <f t="shared" si="2"/>
        <v>12074.0998491445</v>
      </c>
      <c r="O11" s="170">
        <f t="shared" si="2"/>
        <v>12074.0998491445</v>
      </c>
      <c r="P11" s="170">
        <f t="shared" si="2"/>
        <v>12074.0998491445</v>
      </c>
      <c r="Q11" s="170">
        <f t="shared" si="2"/>
        <v>12074.0998491445</v>
      </c>
      <c r="R11" s="170">
        <f t="shared" si="2"/>
        <v>12074.0998491445</v>
      </c>
      <c r="S11" s="170">
        <f t="shared" si="2"/>
        <v>12074.0998491445</v>
      </c>
      <c r="T11" s="170">
        <f t="shared" si="2"/>
        <v>12074.0998491445</v>
      </c>
      <c r="U11" s="170">
        <f t="shared" si="2"/>
        <v>12074.0998491445</v>
      </c>
      <c r="V11" s="170">
        <f t="shared" si="2"/>
        <v>12074.0998491445</v>
      </c>
      <c r="W11" s="170">
        <f t="shared" si="2"/>
        <v>12074.0998491445</v>
      </c>
    </row>
    <row r="12" spans="1:23">
      <c r="A12" s="172"/>
      <c r="B12" s="172"/>
      <c r="C12" s="169" t="s">
        <v>359</v>
      </c>
      <c r="D12" s="170">
        <f>D11*4.35%</f>
        <v>0</v>
      </c>
      <c r="E12" s="170">
        <f t="shared" ref="E12:W12" si="3">E11*4.35%</f>
        <v>0</v>
      </c>
      <c r="F12" s="170">
        <f t="shared" si="3"/>
        <v>0</v>
      </c>
      <c r="G12" s="170">
        <f t="shared" si="3"/>
        <v>479.801757721205</v>
      </c>
      <c r="H12" s="170">
        <f t="shared" si="3"/>
        <v>525.223343437784</v>
      </c>
      <c r="I12" s="170">
        <f t="shared" si="3"/>
        <v>525.223343437784</v>
      </c>
      <c r="J12" s="170">
        <f t="shared" si="3"/>
        <v>525.223343437784</v>
      </c>
      <c r="K12" s="170">
        <f t="shared" si="3"/>
        <v>525.223343437784</v>
      </c>
      <c r="L12" s="170">
        <f t="shared" si="3"/>
        <v>525.223343437784</v>
      </c>
      <c r="M12" s="170">
        <f t="shared" si="3"/>
        <v>525.223343437784</v>
      </c>
      <c r="N12" s="170">
        <f t="shared" si="3"/>
        <v>525.223343437784</v>
      </c>
      <c r="O12" s="170">
        <f t="shared" si="3"/>
        <v>525.223343437784</v>
      </c>
      <c r="P12" s="170">
        <f t="shared" si="3"/>
        <v>525.223343437784</v>
      </c>
      <c r="Q12" s="170">
        <f t="shared" si="3"/>
        <v>525.223343437784</v>
      </c>
      <c r="R12" s="170">
        <f t="shared" si="3"/>
        <v>525.223343437784</v>
      </c>
      <c r="S12" s="170">
        <f t="shared" si="3"/>
        <v>525.223343437784</v>
      </c>
      <c r="T12" s="170">
        <f t="shared" si="3"/>
        <v>525.223343437784</v>
      </c>
      <c r="U12" s="170">
        <f t="shared" si="3"/>
        <v>525.223343437784</v>
      </c>
      <c r="V12" s="170">
        <f t="shared" si="3"/>
        <v>525.223343437784</v>
      </c>
      <c r="W12" s="170">
        <f t="shared" si="3"/>
        <v>525.223343437784</v>
      </c>
    </row>
    <row r="13" ht="20.25" customHeight="1" spans="1:23">
      <c r="A13" s="3">
        <v>3</v>
      </c>
      <c r="B13" s="173" t="s">
        <v>361</v>
      </c>
      <c r="C13" s="174"/>
      <c r="D13" s="167">
        <f>D12+D9</f>
        <v>0</v>
      </c>
      <c r="E13" s="167">
        <f t="shared" ref="E13:W13" si="4">E12+E9</f>
        <v>0</v>
      </c>
      <c r="F13" s="167">
        <f t="shared" si="4"/>
        <v>0</v>
      </c>
      <c r="G13" s="167">
        <f t="shared" si="4"/>
        <v>75267.2264160172</v>
      </c>
      <c r="H13" s="167">
        <f t="shared" si="4"/>
        <v>66099.2829756941</v>
      </c>
      <c r="I13" s="167">
        <f t="shared" si="4"/>
        <v>56434.4630633785</v>
      </c>
      <c r="J13" s="167">
        <f t="shared" si="4"/>
        <v>46296.0669753594</v>
      </c>
      <c r="K13" s="167">
        <f t="shared" si="4"/>
        <v>35660.8894790274</v>
      </c>
      <c r="L13" s="167">
        <f t="shared" si="4"/>
        <v>24504.5882853751</v>
      </c>
      <c r="M13" s="167">
        <f t="shared" si="4"/>
        <v>12801.6283332339</v>
      </c>
      <c r="N13" s="167">
        <f t="shared" si="4"/>
        <v>525.223343437784</v>
      </c>
      <c r="O13" s="167">
        <f t="shared" si="4"/>
        <v>525.223343437784</v>
      </c>
      <c r="P13" s="167">
        <f t="shared" si="4"/>
        <v>525.223343437784</v>
      </c>
      <c r="Q13" s="167">
        <f t="shared" si="4"/>
        <v>525.223343437784</v>
      </c>
      <c r="R13" s="167">
        <f t="shared" si="4"/>
        <v>525.223343437784</v>
      </c>
      <c r="S13" s="167">
        <f t="shared" si="4"/>
        <v>525.223343437784</v>
      </c>
      <c r="T13" s="167">
        <f t="shared" si="4"/>
        <v>525.223343437784</v>
      </c>
      <c r="U13" s="167">
        <f t="shared" si="4"/>
        <v>525.223343437784</v>
      </c>
      <c r="V13" s="167">
        <f t="shared" si="4"/>
        <v>525.223343437784</v>
      </c>
      <c r="W13" s="167">
        <f t="shared" si="4"/>
        <v>525.223343437784</v>
      </c>
    </row>
    <row r="14" ht="20.25" customHeight="1" spans="1:23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4"/>
    </row>
    <row r="15" ht="14.25" customHeight="1" spans="1:23">
      <c r="A15" s="176">
        <v>1</v>
      </c>
      <c r="B15" s="177" t="s">
        <v>362</v>
      </c>
      <c r="C15" s="2" t="s">
        <v>356</v>
      </c>
      <c r="D15" s="170">
        <f>' 资金筹措'!E11</f>
        <v>0</v>
      </c>
      <c r="E15" s="170">
        <f>' 资金筹措'!F11</f>
        <v>293604.50889</v>
      </c>
      <c r="F15" s="170">
        <f>' 资金筹措'!G11</f>
        <v>895200.14760561</v>
      </c>
      <c r="G15" s="170">
        <f>' 资金筹措'!H11</f>
        <v>1526273.97261829</v>
      </c>
      <c r="H15" s="167">
        <f>G15-G17</f>
        <v>1338246.11494401</v>
      </c>
      <c r="I15" s="167">
        <f t="shared" ref="I15:W15" si="5">H15-H17</f>
        <v>1141004.89224369</v>
      </c>
      <c r="J15" s="167">
        <f t="shared" si="5"/>
        <v>934098.849631054</v>
      </c>
      <c r="K15" s="167">
        <f t="shared" si="5"/>
        <v>717054.4109304</v>
      </c>
      <c r="L15" s="167">
        <f t="shared" si="5"/>
        <v>489374.794733415</v>
      </c>
      <c r="M15" s="167">
        <f t="shared" si="5"/>
        <v>250538.877342778</v>
      </c>
      <c r="N15" s="167">
        <v>0</v>
      </c>
      <c r="O15" s="167">
        <f t="shared" si="5"/>
        <v>0</v>
      </c>
      <c r="P15" s="167">
        <f t="shared" si="5"/>
        <v>0</v>
      </c>
      <c r="Q15" s="167">
        <f t="shared" si="5"/>
        <v>0</v>
      </c>
      <c r="R15" s="167">
        <f t="shared" si="5"/>
        <v>0</v>
      </c>
      <c r="S15" s="167">
        <f t="shared" si="5"/>
        <v>0</v>
      </c>
      <c r="T15" s="167">
        <f t="shared" si="5"/>
        <v>0</v>
      </c>
      <c r="U15" s="167">
        <f t="shared" si="5"/>
        <v>0</v>
      </c>
      <c r="V15" s="167">
        <f t="shared" si="5"/>
        <v>0</v>
      </c>
      <c r="W15" s="167">
        <f t="shared" si="5"/>
        <v>0</v>
      </c>
    </row>
    <row r="16" ht="13.5" customHeight="1" spans="1:23">
      <c r="A16" s="178"/>
      <c r="B16" s="179"/>
      <c r="C16" s="180" t="s">
        <v>357</v>
      </c>
      <c r="D16" s="181"/>
      <c r="E16" s="181"/>
      <c r="F16" s="181"/>
      <c r="G16" s="182">
        <f>G6*D3*(1+D3)^H3/((1+D3)^H3-1)</f>
        <v>262815.282332575</v>
      </c>
      <c r="H16" s="181">
        <f>$G$16</f>
        <v>262815.282332575</v>
      </c>
      <c r="I16" s="181">
        <f>$G$16</f>
        <v>262815.282332575</v>
      </c>
      <c r="J16" s="181">
        <f>$G$16</f>
        <v>262815.282332575</v>
      </c>
      <c r="K16" s="181">
        <f>$G$16</f>
        <v>262815.282332575</v>
      </c>
      <c r="L16" s="181">
        <f>$G$16</f>
        <v>262815.282332575</v>
      </c>
      <c r="M16" s="181">
        <f>M17+M18</f>
        <v>262815.282332574</v>
      </c>
      <c r="N16" s="181">
        <v>0</v>
      </c>
      <c r="O16" s="181">
        <v>0</v>
      </c>
      <c r="P16" s="181">
        <v>0</v>
      </c>
      <c r="Q16" s="181"/>
      <c r="R16" s="181"/>
      <c r="S16" s="181"/>
      <c r="T16" s="181"/>
      <c r="U16" s="181"/>
      <c r="V16" s="181"/>
      <c r="W16" s="181"/>
    </row>
    <row r="17" spans="1:23">
      <c r="A17" s="178"/>
      <c r="B17" s="179"/>
      <c r="C17" s="2" t="s">
        <v>358</v>
      </c>
      <c r="D17" s="181"/>
      <c r="E17" s="181"/>
      <c r="F17" s="181"/>
      <c r="G17" s="181">
        <f>G16-G18</f>
        <v>188027.857674279</v>
      </c>
      <c r="H17" s="181">
        <f t="shared" ref="H17:W17" si="6">H16-H18</f>
        <v>197241.222700318</v>
      </c>
      <c r="I17" s="181">
        <f t="shared" si="6"/>
        <v>206906.042612634</v>
      </c>
      <c r="J17" s="181">
        <f t="shared" si="6"/>
        <v>217044.438700653</v>
      </c>
      <c r="K17" s="181">
        <f t="shared" si="6"/>
        <v>227679.616196985</v>
      </c>
      <c r="L17" s="181">
        <f t="shared" si="6"/>
        <v>238835.917390637</v>
      </c>
      <c r="M17" s="181">
        <f>M15</f>
        <v>250538.877342778</v>
      </c>
      <c r="N17" s="181">
        <v>0</v>
      </c>
      <c r="O17" s="181">
        <v>0</v>
      </c>
      <c r="P17" s="181">
        <v>0</v>
      </c>
      <c r="Q17" s="181">
        <f t="shared" si="6"/>
        <v>0</v>
      </c>
      <c r="R17" s="181">
        <f t="shared" si="6"/>
        <v>0</v>
      </c>
      <c r="S17" s="181">
        <f t="shared" si="6"/>
        <v>0</v>
      </c>
      <c r="T17" s="181">
        <f t="shared" si="6"/>
        <v>0</v>
      </c>
      <c r="U17" s="181">
        <f t="shared" si="6"/>
        <v>0</v>
      </c>
      <c r="V17" s="181">
        <f t="shared" si="6"/>
        <v>0</v>
      </c>
      <c r="W17" s="181">
        <f t="shared" si="6"/>
        <v>0</v>
      </c>
    </row>
    <row r="18" spans="1:23">
      <c r="A18" s="178"/>
      <c r="B18" s="183"/>
      <c r="C18" s="2" t="s">
        <v>359</v>
      </c>
      <c r="D18" s="181"/>
      <c r="E18" s="181"/>
      <c r="F18" s="181"/>
      <c r="G18" s="184">
        <f>G6*$D$3</f>
        <v>74787.424658296</v>
      </c>
      <c r="H18" s="181">
        <f t="shared" ref="H18:W18" si="7">H6*$D$3</f>
        <v>65574.0596322563</v>
      </c>
      <c r="I18" s="181">
        <f t="shared" si="7"/>
        <v>55909.2397199407</v>
      </c>
      <c r="J18" s="181">
        <f t="shared" si="7"/>
        <v>45770.8436319216</v>
      </c>
      <c r="K18" s="181">
        <f t="shared" si="7"/>
        <v>35135.6661355896</v>
      </c>
      <c r="L18" s="181">
        <f t="shared" si="7"/>
        <v>23979.3649419374</v>
      </c>
      <c r="M18" s="181">
        <f t="shared" si="7"/>
        <v>12276.4049897961</v>
      </c>
      <c r="N18" s="181">
        <f t="shared" si="7"/>
        <v>0</v>
      </c>
      <c r="O18" s="181">
        <f t="shared" si="7"/>
        <v>0</v>
      </c>
      <c r="P18" s="181">
        <f t="shared" si="7"/>
        <v>0</v>
      </c>
      <c r="Q18" s="181">
        <f t="shared" si="7"/>
        <v>0</v>
      </c>
      <c r="R18" s="181">
        <f t="shared" si="7"/>
        <v>0</v>
      </c>
      <c r="S18" s="181">
        <f t="shared" si="7"/>
        <v>0</v>
      </c>
      <c r="T18" s="181">
        <f t="shared" si="7"/>
        <v>0</v>
      </c>
      <c r="U18" s="181">
        <f t="shared" si="7"/>
        <v>0</v>
      </c>
      <c r="V18" s="181">
        <f t="shared" si="7"/>
        <v>0</v>
      </c>
      <c r="W18" s="181">
        <f t="shared" si="7"/>
        <v>0</v>
      </c>
    </row>
    <row r="19" spans="1:23">
      <c r="A19" s="178"/>
      <c r="B19" s="185" t="s">
        <v>363</v>
      </c>
      <c r="C19" s="2" t="s">
        <v>356</v>
      </c>
      <c r="D19" s="170">
        <f>' 资金筹措'!E11</f>
        <v>0</v>
      </c>
      <c r="E19" s="170">
        <f>' 资金筹措'!F11</f>
        <v>293604.50889</v>
      </c>
      <c r="F19" s="170">
        <f>' 资金筹措'!G11</f>
        <v>895200.14760561</v>
      </c>
      <c r="G19" s="170">
        <f>' 资金筹措'!H11</f>
        <v>1526273.97261829</v>
      </c>
      <c r="H19" s="181">
        <f>G19-G21</f>
        <v>1308234.83367282</v>
      </c>
      <c r="I19" s="181">
        <f t="shared" ref="I19:O19" si="8">H19-H21</f>
        <v>1090195.69472735</v>
      </c>
      <c r="J19" s="181">
        <f t="shared" si="8"/>
        <v>872156.555781877</v>
      </c>
      <c r="K19" s="181">
        <f t="shared" si="8"/>
        <v>654117.416836408</v>
      </c>
      <c r="L19" s="181">
        <f t="shared" si="8"/>
        <v>436078.277890938</v>
      </c>
      <c r="M19" s="181">
        <f t="shared" si="8"/>
        <v>218039.138945469</v>
      </c>
      <c r="N19" s="181">
        <f t="shared" si="8"/>
        <v>0</v>
      </c>
      <c r="O19" s="181">
        <f t="shared" si="8"/>
        <v>0</v>
      </c>
      <c r="P19" s="181">
        <v>0</v>
      </c>
      <c r="Q19" s="181">
        <v>0</v>
      </c>
      <c r="R19" s="181"/>
      <c r="S19" s="181"/>
      <c r="T19" s="181"/>
      <c r="U19" s="181"/>
      <c r="V19" s="181"/>
      <c r="W19" s="181"/>
    </row>
    <row r="20" ht="13.5" customHeight="1" spans="1:23">
      <c r="A20" s="178"/>
      <c r="B20" s="186"/>
      <c r="C20" s="180" t="s">
        <v>357</v>
      </c>
      <c r="D20" s="181"/>
      <c r="E20" s="181"/>
      <c r="F20" s="181"/>
      <c r="G20" s="187">
        <f>G21+G22</f>
        <v>292826.563603765</v>
      </c>
      <c r="H20" s="187">
        <f t="shared" ref="H20:W20" si="9">H21+H22</f>
        <v>282142.645795437</v>
      </c>
      <c r="I20" s="187">
        <f t="shared" si="9"/>
        <v>271458.727987109</v>
      </c>
      <c r="J20" s="187">
        <f t="shared" si="9"/>
        <v>260774.810178781</v>
      </c>
      <c r="K20" s="187">
        <f t="shared" si="9"/>
        <v>250090.892370453</v>
      </c>
      <c r="L20" s="187">
        <f t="shared" si="9"/>
        <v>239406.974562125</v>
      </c>
      <c r="M20" s="187">
        <f t="shared" si="9"/>
        <v>228723.056753797</v>
      </c>
      <c r="N20" s="187"/>
      <c r="O20" s="187">
        <v>0</v>
      </c>
      <c r="P20" s="187">
        <v>0</v>
      </c>
      <c r="Q20" s="184">
        <v>0</v>
      </c>
      <c r="R20" s="184">
        <f t="shared" si="9"/>
        <v>0</v>
      </c>
      <c r="S20" s="184">
        <f t="shared" si="9"/>
        <v>0</v>
      </c>
      <c r="T20" s="184">
        <f t="shared" si="9"/>
        <v>0</v>
      </c>
      <c r="U20" s="184">
        <f t="shared" si="9"/>
        <v>0</v>
      </c>
      <c r="V20" s="184">
        <f t="shared" si="9"/>
        <v>0</v>
      </c>
      <c r="W20" s="184">
        <f t="shared" si="9"/>
        <v>0</v>
      </c>
    </row>
    <row r="21" spans="1:23">
      <c r="A21" s="178"/>
      <c r="B21" s="186"/>
      <c r="C21" s="2" t="s">
        <v>358</v>
      </c>
      <c r="D21" s="181"/>
      <c r="E21" s="181"/>
      <c r="F21" s="181"/>
      <c r="G21" s="184">
        <f>$G19/$H3</f>
        <v>218039.138945469</v>
      </c>
      <c r="H21" s="181">
        <f t="shared" ref="H21:M21" si="10">$G19/$H3</f>
        <v>218039.138945469</v>
      </c>
      <c r="I21" s="181">
        <f t="shared" si="10"/>
        <v>218039.138945469</v>
      </c>
      <c r="J21" s="181">
        <f t="shared" si="10"/>
        <v>218039.138945469</v>
      </c>
      <c r="K21" s="181">
        <f t="shared" si="10"/>
        <v>218039.138945469</v>
      </c>
      <c r="L21" s="181">
        <f t="shared" si="10"/>
        <v>218039.138945469</v>
      </c>
      <c r="M21" s="181">
        <f t="shared" si="10"/>
        <v>218039.138945469</v>
      </c>
      <c r="N21" s="181"/>
      <c r="O21" s="181">
        <v>0</v>
      </c>
      <c r="P21" s="181">
        <v>0</v>
      </c>
      <c r="Q21" s="181">
        <v>0</v>
      </c>
      <c r="R21" s="181"/>
      <c r="S21" s="181"/>
      <c r="T21" s="181"/>
      <c r="U21" s="181"/>
      <c r="V21" s="181"/>
      <c r="W21" s="181"/>
    </row>
    <row r="22" spans="1:23">
      <c r="A22" s="178"/>
      <c r="B22" s="188"/>
      <c r="C22" s="2" t="s">
        <v>359</v>
      </c>
      <c r="D22" s="181"/>
      <c r="E22" s="181"/>
      <c r="F22" s="181"/>
      <c r="G22" s="184">
        <f>$G$19*(1-(G5-3-1)/$H3)*$D$3</f>
        <v>74787.424658296</v>
      </c>
      <c r="H22" s="187">
        <f t="shared" ref="H22:N22" si="11">$G$19*(1-(H5-3-1)/$H3)*$D$3</f>
        <v>64103.506849968</v>
      </c>
      <c r="I22" s="187">
        <f t="shared" si="11"/>
        <v>53419.58904164</v>
      </c>
      <c r="J22" s="187">
        <f t="shared" si="11"/>
        <v>42735.671233312</v>
      </c>
      <c r="K22" s="187">
        <f t="shared" si="11"/>
        <v>32051.753424984</v>
      </c>
      <c r="L22" s="187">
        <f t="shared" si="11"/>
        <v>21367.835616656</v>
      </c>
      <c r="M22" s="187">
        <f t="shared" si="11"/>
        <v>10683.917808328</v>
      </c>
      <c r="N22" s="187">
        <f t="shared" si="11"/>
        <v>0</v>
      </c>
      <c r="O22" s="187">
        <v>0</v>
      </c>
      <c r="P22" s="187">
        <v>0</v>
      </c>
      <c r="Q22" s="187">
        <v>0</v>
      </c>
      <c r="R22" s="181"/>
      <c r="S22" s="181"/>
      <c r="T22" s="181"/>
      <c r="U22" s="181"/>
      <c r="V22" s="181"/>
      <c r="W22" s="181"/>
    </row>
    <row r="24" spans="1:2">
      <c r="A24" s="189">
        <f>IF(' 资金筹措'!L4=1,0,1)</f>
        <v>0</v>
      </c>
      <c r="B24" s="190" t="s">
        <v>364</v>
      </c>
    </row>
    <row r="25" spans="1:2">
      <c r="A25" s="189"/>
      <c r="B25" s="191"/>
    </row>
    <row r="28" ht="21" customHeight="1" spans="2:3">
      <c r="B28" s="192" t="s">
        <v>365</v>
      </c>
      <c r="C28" s="193"/>
    </row>
    <row r="29" ht="23.25" customHeight="1" spans="1:23">
      <c r="A29" s="194" t="s">
        <v>2</v>
      </c>
      <c r="B29" s="194" t="s">
        <v>3</v>
      </c>
      <c r="C29" s="194"/>
      <c r="D29" s="194" t="s">
        <v>121</v>
      </c>
      <c r="E29" s="194" t="s">
        <v>122</v>
      </c>
      <c r="F29" s="194" t="s">
        <v>123</v>
      </c>
      <c r="G29" s="194" t="s">
        <v>140</v>
      </c>
      <c r="H29" s="194" t="s">
        <v>141</v>
      </c>
      <c r="I29" s="194" t="s">
        <v>142</v>
      </c>
      <c r="J29" s="194" t="s">
        <v>143</v>
      </c>
      <c r="K29" s="194" t="s">
        <v>144</v>
      </c>
      <c r="L29" s="194" t="s">
        <v>145</v>
      </c>
      <c r="M29" s="194" t="s">
        <v>146</v>
      </c>
      <c r="N29" s="194" t="s">
        <v>147</v>
      </c>
      <c r="O29" s="194" t="s">
        <v>148</v>
      </c>
      <c r="P29" s="194" t="s">
        <v>149</v>
      </c>
      <c r="Q29" s="194" t="s">
        <v>150</v>
      </c>
      <c r="R29" s="194" t="s">
        <v>151</v>
      </c>
      <c r="S29" s="194" t="s">
        <v>152</v>
      </c>
      <c r="T29" s="194" t="s">
        <v>153</v>
      </c>
      <c r="U29" s="194" t="s">
        <v>154</v>
      </c>
      <c r="V29" s="194" t="s">
        <v>155</v>
      </c>
      <c r="W29" s="194" t="s">
        <v>156</v>
      </c>
    </row>
    <row r="30" spans="1:23">
      <c r="A30" s="5">
        <v>1</v>
      </c>
      <c r="B30" s="5" t="s">
        <v>366</v>
      </c>
      <c r="C30" s="2" t="s">
        <v>367</v>
      </c>
      <c r="D30" s="136">
        <f>' 资金筹措'!E11</f>
        <v>0</v>
      </c>
      <c r="E30" s="136">
        <f>' 资金筹措'!F11</f>
        <v>293604.50889</v>
      </c>
      <c r="F30" s="136">
        <f>' 资金筹措'!G11</f>
        <v>895200.14760561</v>
      </c>
      <c r="G30" s="195">
        <f>' 资金筹措'!H11</f>
        <v>1526273.97261829</v>
      </c>
      <c r="H30" s="136">
        <f>G30+G31-G33</f>
        <v>1440482.82848257</v>
      </c>
      <c r="I30" s="136">
        <f t="shared" ref="I30:P30" si="12">H30+H31-H33</f>
        <v>1293538.74339511</v>
      </c>
      <c r="J30" s="136">
        <f t="shared" si="12"/>
        <v>1138418.88926863</v>
      </c>
      <c r="K30" s="136">
        <f t="shared" si="12"/>
        <v>1008711.51589433</v>
      </c>
      <c r="L30" s="136">
        <f t="shared" si="12"/>
        <v>860933.409850339</v>
      </c>
      <c r="M30" s="136">
        <f t="shared" si="12"/>
        <v>701565.850752786</v>
      </c>
      <c r="N30" s="136">
        <f t="shared" si="12"/>
        <v>529118.199242302</v>
      </c>
      <c r="O30" s="136">
        <f t="shared" si="12"/>
        <v>349941.906734095</v>
      </c>
      <c r="P30" s="136">
        <f t="shared" si="12"/>
        <v>148634.720018276</v>
      </c>
      <c r="Q30" s="136">
        <f t="shared" ref="Q30" si="13">P30+P31-P33</f>
        <v>0</v>
      </c>
      <c r="R30" s="136">
        <f t="shared" ref="R30" si="14">Q30+Q31-Q33</f>
        <v>0</v>
      </c>
      <c r="S30" s="136">
        <f t="shared" ref="S30" si="15">R30+R31-R33</f>
        <v>0</v>
      </c>
      <c r="T30" s="136">
        <f t="shared" ref="T30" si="16">S30+S31-S33</f>
        <v>0</v>
      </c>
      <c r="U30" s="136">
        <f t="shared" ref="U30" si="17">T30+T31-T33</f>
        <v>0</v>
      </c>
      <c r="V30" s="136">
        <f t="shared" ref="V30" si="18">U30+U31-U33</f>
        <v>0</v>
      </c>
      <c r="W30" s="136">
        <f t="shared" ref="W30" si="19">V30+V31-V33</f>
        <v>0</v>
      </c>
    </row>
    <row r="31" spans="1:23">
      <c r="A31" s="8"/>
      <c r="B31" s="8"/>
      <c r="C31" s="2" t="s">
        <v>368</v>
      </c>
      <c r="D31" s="136">
        <f>' 资金筹措'!E9</f>
        <v>286583.22</v>
      </c>
      <c r="E31" s="136">
        <f>' 资金筹措'!F9</f>
        <v>573166.44</v>
      </c>
      <c r="F31" s="136">
        <f>' 资金筹措'!G9</f>
        <v>573166.44</v>
      </c>
      <c r="G31" s="136">
        <f>' 资金筹措'!H9</f>
        <v>0</v>
      </c>
      <c r="H31" s="136">
        <f>' 资金筹措'!I9</f>
        <v>0</v>
      </c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</row>
    <row r="32" spans="1:23">
      <c r="A32" s="8"/>
      <c r="B32" s="8"/>
      <c r="C32" s="2" t="s">
        <v>369</v>
      </c>
      <c r="D32" s="136">
        <f>' 资金筹措'!E10</f>
        <v>7021.28889</v>
      </c>
      <c r="E32" s="136">
        <f>' 资金筹措'!F10</f>
        <v>28429.19871561</v>
      </c>
      <c r="F32" s="136">
        <f>' 资金筹措'!G10</f>
        <v>57907.3850126749</v>
      </c>
      <c r="G32" s="136">
        <f>G30*4.9%</f>
        <v>74787.424658296</v>
      </c>
      <c r="H32" s="136">
        <f t="shared" ref="H32:O32" si="20">H30*4.9%</f>
        <v>70583.6585956458</v>
      </c>
      <c r="I32" s="136">
        <f t="shared" si="20"/>
        <v>63383.3984263603</v>
      </c>
      <c r="J32" s="136">
        <f t="shared" si="20"/>
        <v>55782.5255741627</v>
      </c>
      <c r="K32" s="136">
        <f t="shared" si="20"/>
        <v>49426.8642788222</v>
      </c>
      <c r="L32" s="136">
        <f t="shared" si="20"/>
        <v>42185.7370826666</v>
      </c>
      <c r="M32" s="136">
        <f t="shared" si="20"/>
        <v>34376.7266868865</v>
      </c>
      <c r="N32" s="136">
        <f t="shared" si="20"/>
        <v>25926.7917628728</v>
      </c>
      <c r="O32" s="136">
        <f t="shared" si="20"/>
        <v>17147.1534299706</v>
      </c>
      <c r="P32" s="136">
        <f t="shared" ref="P32" si="21">P30*4.9%</f>
        <v>7283.10128089554</v>
      </c>
      <c r="Q32" s="136"/>
      <c r="R32" s="136"/>
      <c r="S32" s="136"/>
      <c r="T32" s="136"/>
      <c r="U32" s="136"/>
      <c r="V32" s="136"/>
      <c r="W32" s="136"/>
    </row>
    <row r="33" spans="1:23">
      <c r="A33" s="8"/>
      <c r="B33" s="8"/>
      <c r="C33" s="2" t="s">
        <v>370</v>
      </c>
      <c r="D33" s="136"/>
      <c r="E33" s="136"/>
      <c r="F33" s="136"/>
      <c r="G33" s="136">
        <f>G39-G38-G34</f>
        <v>85791.1441357187</v>
      </c>
      <c r="H33" s="136">
        <f t="shared" ref="H33:O33" si="22">H39-H38-H34</f>
        <v>146944.085087458</v>
      </c>
      <c r="I33" s="136">
        <f t="shared" si="22"/>
        <v>155119.854126482</v>
      </c>
      <c r="J33" s="136">
        <f t="shared" si="22"/>
        <v>129707.373374297</v>
      </c>
      <c r="K33" s="136">
        <f t="shared" si="22"/>
        <v>147778.106043992</v>
      </c>
      <c r="L33" s="136">
        <f t="shared" si="22"/>
        <v>159367.559097553</v>
      </c>
      <c r="M33" s="136">
        <f t="shared" si="22"/>
        <v>172447.651510484</v>
      </c>
      <c r="N33" s="136">
        <f t="shared" si="22"/>
        <v>179176.292508207</v>
      </c>
      <c r="O33" s="136">
        <f t="shared" si="22"/>
        <v>201307.186715818</v>
      </c>
      <c r="P33" s="136">
        <f>P30</f>
        <v>148634.720018276</v>
      </c>
      <c r="Q33" s="136">
        <v>0</v>
      </c>
      <c r="R33" s="136">
        <v>0</v>
      </c>
      <c r="S33" s="136"/>
      <c r="T33" s="136"/>
      <c r="U33" s="136"/>
      <c r="V33" s="136"/>
      <c r="W33" s="136"/>
    </row>
    <row r="34" spans="1:23">
      <c r="A34" s="9"/>
      <c r="B34" s="9"/>
      <c r="C34" s="2" t="s">
        <v>371</v>
      </c>
      <c r="D34" s="136"/>
      <c r="E34" s="136"/>
      <c r="F34" s="136"/>
      <c r="G34" s="136">
        <f>G32</f>
        <v>74787.424658296</v>
      </c>
      <c r="H34" s="136">
        <f t="shared" ref="H34:O34" si="23">H32</f>
        <v>70583.6585956458</v>
      </c>
      <c r="I34" s="136">
        <f t="shared" si="23"/>
        <v>63383.3984263603</v>
      </c>
      <c r="J34" s="136">
        <f t="shared" si="23"/>
        <v>55782.5255741627</v>
      </c>
      <c r="K34" s="136">
        <f t="shared" si="23"/>
        <v>49426.8642788222</v>
      </c>
      <c r="L34" s="136">
        <f t="shared" si="23"/>
        <v>42185.7370826666</v>
      </c>
      <c r="M34" s="136">
        <f t="shared" si="23"/>
        <v>34376.7266868865</v>
      </c>
      <c r="N34" s="136">
        <f t="shared" si="23"/>
        <v>25926.7917628728</v>
      </c>
      <c r="O34" s="136">
        <f t="shared" si="23"/>
        <v>17147.1534299706</v>
      </c>
      <c r="P34" s="136">
        <f t="shared" ref="P34:W34" si="24">P32</f>
        <v>7283.10128089554</v>
      </c>
      <c r="Q34" s="136">
        <f t="shared" si="24"/>
        <v>0</v>
      </c>
      <c r="R34" s="136">
        <f t="shared" si="24"/>
        <v>0</v>
      </c>
      <c r="S34" s="136">
        <f t="shared" si="24"/>
        <v>0</v>
      </c>
      <c r="T34" s="136">
        <f t="shared" si="24"/>
        <v>0</v>
      </c>
      <c r="U34" s="136">
        <f t="shared" si="24"/>
        <v>0</v>
      </c>
      <c r="V34" s="136">
        <f t="shared" si="24"/>
        <v>0</v>
      </c>
      <c r="W34" s="136">
        <f t="shared" si="24"/>
        <v>0</v>
      </c>
    </row>
    <row r="35" spans="1:23">
      <c r="A35" s="196">
        <v>2</v>
      </c>
      <c r="B35" s="196" t="s">
        <v>319</v>
      </c>
      <c r="C35" s="197" t="s">
        <v>367</v>
      </c>
      <c r="D35" s="198"/>
      <c r="E35" s="198"/>
      <c r="F35" s="198"/>
      <c r="G35" s="199">
        <f>G36</f>
        <v>11029.9254648553</v>
      </c>
      <c r="H35" s="198">
        <f>G35+H36</f>
        <v>12074.0998491445</v>
      </c>
      <c r="I35" s="198">
        <f t="shared" ref="I35:O35" si="25">H35+I36</f>
        <v>12074.0998491445</v>
      </c>
      <c r="J35" s="198">
        <f t="shared" si="25"/>
        <v>12074.0998491445</v>
      </c>
      <c r="K35" s="198">
        <f t="shared" si="25"/>
        <v>12074.0998491445</v>
      </c>
      <c r="L35" s="198">
        <f t="shared" si="25"/>
        <v>12074.0998491445</v>
      </c>
      <c r="M35" s="198">
        <f t="shared" si="25"/>
        <v>12074.0998491445</v>
      </c>
      <c r="N35" s="198">
        <f t="shared" si="25"/>
        <v>12074.0998491445</v>
      </c>
      <c r="O35" s="198">
        <f t="shared" si="25"/>
        <v>12074.0998491445</v>
      </c>
      <c r="P35" s="198">
        <f t="shared" ref="P35" si="26">O35+P36</f>
        <v>12074.0998491445</v>
      </c>
      <c r="Q35" s="198">
        <f t="shared" ref="Q35" si="27">P35+Q36</f>
        <v>12074.0998491445</v>
      </c>
      <c r="R35" s="198">
        <f t="shared" ref="R35" si="28">Q35+R36</f>
        <v>12074.0998491445</v>
      </c>
      <c r="S35" s="198">
        <f t="shared" ref="S35" si="29">R35+S36</f>
        <v>12074.0998491445</v>
      </c>
      <c r="T35" s="198">
        <f t="shared" ref="T35" si="30">S35+T36</f>
        <v>12074.0998491445</v>
      </c>
      <c r="U35" s="198">
        <f t="shared" ref="U35" si="31">T35+U36</f>
        <v>12074.0998491445</v>
      </c>
      <c r="V35" s="198">
        <f t="shared" ref="V35" si="32">U35+V36</f>
        <v>12074.0998491445</v>
      </c>
      <c r="W35" s="198">
        <f t="shared" ref="W35" si="33">V35+W36</f>
        <v>12074.0998491445</v>
      </c>
    </row>
    <row r="36" spans="1:23">
      <c r="A36" s="200"/>
      <c r="B36" s="200"/>
      <c r="C36" s="197" t="s">
        <v>372</v>
      </c>
      <c r="D36" s="198">
        <f>' 资金筹措'!E23</f>
        <v>0</v>
      </c>
      <c r="E36" s="198">
        <f>' 资金筹措'!F23</f>
        <v>0</v>
      </c>
      <c r="F36" s="198">
        <f>' 资金筹措'!G23</f>
        <v>0</v>
      </c>
      <c r="G36" s="201">
        <f>' 资金筹措'!H23</f>
        <v>11029.9254648553</v>
      </c>
      <c r="H36" s="201">
        <f>' 资金筹措'!I23</f>
        <v>1044.17438428916</v>
      </c>
      <c r="I36" s="198">
        <f>' 资金筹措'!J23</f>
        <v>0</v>
      </c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</row>
    <row r="37" spans="1:23">
      <c r="A37" s="200"/>
      <c r="B37" s="200"/>
      <c r="C37" s="197" t="s">
        <v>370</v>
      </c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</row>
    <row r="38" spans="1:23">
      <c r="A38" s="200"/>
      <c r="B38" s="200"/>
      <c r="C38" s="202" t="s">
        <v>359</v>
      </c>
      <c r="D38" s="203"/>
      <c r="E38" s="203"/>
      <c r="F38" s="203"/>
      <c r="G38" s="203">
        <f>G36*4.35%</f>
        <v>479.801757721205</v>
      </c>
      <c r="H38" s="203">
        <f>H35*4.35%</f>
        <v>525.223343437784</v>
      </c>
      <c r="I38" s="203">
        <f t="shared" ref="I38:W38" si="34">I35*4.35%</f>
        <v>525.223343437784</v>
      </c>
      <c r="J38" s="203">
        <f t="shared" si="34"/>
        <v>525.223343437784</v>
      </c>
      <c r="K38" s="203">
        <f t="shared" si="34"/>
        <v>525.223343437784</v>
      </c>
      <c r="L38" s="203">
        <f t="shared" si="34"/>
        <v>525.223343437784</v>
      </c>
      <c r="M38" s="203">
        <f t="shared" si="34"/>
        <v>525.223343437784</v>
      </c>
      <c r="N38" s="203">
        <f t="shared" si="34"/>
        <v>525.223343437784</v>
      </c>
      <c r="O38" s="203">
        <f t="shared" si="34"/>
        <v>525.223343437784</v>
      </c>
      <c r="P38" s="203">
        <f t="shared" si="34"/>
        <v>525.223343437784</v>
      </c>
      <c r="Q38" s="203">
        <f t="shared" si="34"/>
        <v>525.223343437784</v>
      </c>
      <c r="R38" s="203">
        <f t="shared" si="34"/>
        <v>525.223343437784</v>
      </c>
      <c r="S38" s="203">
        <f t="shared" si="34"/>
        <v>525.223343437784</v>
      </c>
      <c r="T38" s="203">
        <f t="shared" si="34"/>
        <v>525.223343437784</v>
      </c>
      <c r="U38" s="203">
        <f t="shared" si="34"/>
        <v>525.223343437784</v>
      </c>
      <c r="V38" s="203">
        <f t="shared" si="34"/>
        <v>525.223343437784</v>
      </c>
      <c r="W38" s="203">
        <f t="shared" si="34"/>
        <v>525.223343437784</v>
      </c>
    </row>
    <row r="39" spans="1:23">
      <c r="A39" s="5">
        <v>3</v>
      </c>
      <c r="B39" s="5" t="s">
        <v>373</v>
      </c>
      <c r="C39" s="204" t="s">
        <v>374</v>
      </c>
      <c r="D39" s="205">
        <f>SUM(D40:D42)</f>
        <v>0</v>
      </c>
      <c r="E39" s="205">
        <f t="shared" ref="E39:W39" si="35">SUM(E40:E42)</f>
        <v>0</v>
      </c>
      <c r="F39" s="205">
        <f t="shared" si="35"/>
        <v>0</v>
      </c>
      <c r="G39" s="205">
        <f t="shared" si="35"/>
        <v>161058.370551736</v>
      </c>
      <c r="H39" s="205">
        <f t="shared" si="35"/>
        <v>218052.967026541</v>
      </c>
      <c r="I39" s="205">
        <f t="shared" si="35"/>
        <v>219028.47589628</v>
      </c>
      <c r="J39" s="205">
        <f t="shared" si="35"/>
        <v>186015.122291897</v>
      </c>
      <c r="K39" s="205">
        <f t="shared" si="35"/>
        <v>197730.193666252</v>
      </c>
      <c r="L39" s="205">
        <f t="shared" si="35"/>
        <v>202078.519523657</v>
      </c>
      <c r="M39" s="205">
        <f t="shared" si="35"/>
        <v>207349.601540808</v>
      </c>
      <c r="N39" s="205">
        <f t="shared" si="35"/>
        <v>205628.307614518</v>
      </c>
      <c r="O39" s="205">
        <f t="shared" si="35"/>
        <v>218979.563489227</v>
      </c>
      <c r="P39" s="205">
        <f t="shared" si="35"/>
        <v>225637.798689852</v>
      </c>
      <c r="Q39" s="205">
        <f t="shared" si="35"/>
        <v>104448.81931961</v>
      </c>
      <c r="R39" s="205">
        <f t="shared" si="35"/>
        <v>104448.81931961</v>
      </c>
      <c r="S39" s="205">
        <f t="shared" si="35"/>
        <v>104448.81931961</v>
      </c>
      <c r="T39" s="205">
        <f t="shared" si="35"/>
        <v>104448.81931961</v>
      </c>
      <c r="U39" s="205">
        <f t="shared" si="35"/>
        <v>104448.81931961</v>
      </c>
      <c r="V39" s="205">
        <f t="shared" si="35"/>
        <v>48455.6378286854</v>
      </c>
      <c r="W39" s="205">
        <f t="shared" si="35"/>
        <v>0</v>
      </c>
    </row>
    <row r="40" spans="1:23">
      <c r="A40" s="8"/>
      <c r="B40" s="8"/>
      <c r="C40" s="206" t="s">
        <v>375</v>
      </c>
      <c r="D40" s="136">
        <f>' 损益表'!C25</f>
        <v>0</v>
      </c>
      <c r="E40" s="136">
        <f>' 损益表'!D25</f>
        <v>0</v>
      </c>
      <c r="F40" s="136">
        <f>' 损益表'!E25</f>
        <v>0</v>
      </c>
      <c r="G40" s="136">
        <f>' 损益表'!F25</f>
        <v>51483.751232126</v>
      </c>
      <c r="H40" s="136">
        <f>' 损益表'!G25</f>
        <v>108478.347706931</v>
      </c>
      <c r="I40" s="136">
        <f>' 损益表'!H25</f>
        <v>109453.85657667</v>
      </c>
      <c r="J40" s="136">
        <f>' 损益表'!I25</f>
        <v>76440.5029722872</v>
      </c>
      <c r="K40" s="136">
        <f>' 损益表'!J25</f>
        <v>88155.5743466421</v>
      </c>
      <c r="L40" s="136">
        <f>' 损益表'!K25</f>
        <v>94163.700204047</v>
      </c>
      <c r="M40" s="136">
        <f>' 损益表'!L25</f>
        <v>99434.7822211986</v>
      </c>
      <c r="N40" s="136">
        <f>' 损益表'!M25</f>
        <v>97713.4882949079</v>
      </c>
      <c r="O40" s="136">
        <f>' 损益表'!N25</f>
        <v>111064.744169617</v>
      </c>
      <c r="P40" s="136">
        <f>' 损益表'!O25</f>
        <v>117722.979370243</v>
      </c>
      <c r="Q40" s="136">
        <f>' 损益表'!P25</f>
        <v>0</v>
      </c>
      <c r="R40" s="136">
        <f>' 损益表'!Q25</f>
        <v>0</v>
      </c>
      <c r="S40" s="136">
        <f>' 损益表'!R25</f>
        <v>0</v>
      </c>
      <c r="T40" s="136">
        <f>' 损益表'!S25</f>
        <v>0</v>
      </c>
      <c r="U40" s="136">
        <f>' 损益表'!T25</f>
        <v>0</v>
      </c>
      <c r="V40" s="136">
        <f>' 损益表'!U25</f>
        <v>0</v>
      </c>
      <c r="W40" s="136">
        <f>' 损益表'!V25</f>
        <v>0</v>
      </c>
    </row>
    <row r="41" spans="1:23">
      <c r="A41" s="8"/>
      <c r="B41" s="8"/>
      <c r="C41" s="206" t="s">
        <v>376</v>
      </c>
      <c r="D41" s="136">
        <f>' 折旧摊销'!E11</f>
        <v>0</v>
      </c>
      <c r="E41" s="136">
        <f>' 折旧摊销'!F11</f>
        <v>0</v>
      </c>
      <c r="F41" s="136">
        <f>' 折旧摊销'!G11</f>
        <v>0</v>
      </c>
      <c r="G41" s="136">
        <f>' 折旧摊销'!H11</f>
        <v>104448.81931961</v>
      </c>
      <c r="H41" s="136">
        <f>' 折旧摊销'!I11</f>
        <v>104448.81931961</v>
      </c>
      <c r="I41" s="136">
        <f>' 折旧摊销'!J11</f>
        <v>104448.81931961</v>
      </c>
      <c r="J41" s="136">
        <f>' 折旧摊销'!K11</f>
        <v>104448.81931961</v>
      </c>
      <c r="K41" s="136">
        <f>' 折旧摊销'!L11</f>
        <v>104448.81931961</v>
      </c>
      <c r="L41" s="136">
        <f>' 折旧摊销'!M11</f>
        <v>104448.81931961</v>
      </c>
      <c r="M41" s="136">
        <f>' 折旧摊销'!N11</f>
        <v>104448.81931961</v>
      </c>
      <c r="N41" s="136">
        <f>' 折旧摊销'!O11</f>
        <v>104448.81931961</v>
      </c>
      <c r="O41" s="136">
        <f>' 折旧摊销'!P11</f>
        <v>104448.81931961</v>
      </c>
      <c r="P41" s="136">
        <f>' 折旧摊销'!Q11</f>
        <v>104448.81931961</v>
      </c>
      <c r="Q41" s="136">
        <f>' 折旧摊销'!R11</f>
        <v>104448.81931961</v>
      </c>
      <c r="R41" s="136">
        <f>' 折旧摊销'!S11</f>
        <v>104448.81931961</v>
      </c>
      <c r="S41" s="136">
        <f>' 折旧摊销'!T11</f>
        <v>104448.81931961</v>
      </c>
      <c r="T41" s="136">
        <f>' 折旧摊销'!U11</f>
        <v>104448.81931961</v>
      </c>
      <c r="U41" s="136">
        <f>' 折旧摊销'!V11</f>
        <v>104448.81931961</v>
      </c>
      <c r="V41" s="136">
        <f>' 折旧摊销'!W11</f>
        <v>48455.6378286854</v>
      </c>
      <c r="W41" s="136">
        <f>' 折旧摊销'!X11</f>
        <v>0</v>
      </c>
    </row>
    <row r="42" spans="1:23">
      <c r="A42" s="9"/>
      <c r="B42" s="9"/>
      <c r="C42" s="206" t="s">
        <v>377</v>
      </c>
      <c r="D42" s="136">
        <f>' 折旧摊销'!E19</f>
        <v>0</v>
      </c>
      <c r="E42" s="136">
        <f>' 折旧摊销'!F19</f>
        <v>0</v>
      </c>
      <c r="F42" s="136">
        <f>' 折旧摊销'!G19</f>
        <v>0</v>
      </c>
      <c r="G42" s="136">
        <f>' 折旧摊销'!H19</f>
        <v>5125.8</v>
      </c>
      <c r="H42" s="136">
        <f>' 折旧摊销'!I19</f>
        <v>5125.8</v>
      </c>
      <c r="I42" s="136">
        <f>' 折旧摊销'!J19</f>
        <v>5125.8</v>
      </c>
      <c r="J42" s="136">
        <f>' 折旧摊销'!K19</f>
        <v>5125.8</v>
      </c>
      <c r="K42" s="136">
        <f>' 折旧摊销'!L19</f>
        <v>5125.8</v>
      </c>
      <c r="L42" s="136">
        <f>' 折旧摊销'!M19</f>
        <v>3466</v>
      </c>
      <c r="M42" s="136">
        <f>' 折旧摊销'!N19</f>
        <v>3466</v>
      </c>
      <c r="N42" s="136">
        <f>' 折旧摊销'!O19</f>
        <v>3466</v>
      </c>
      <c r="O42" s="136">
        <f>' 折旧摊销'!P19</f>
        <v>3466</v>
      </c>
      <c r="P42" s="136">
        <f>' 折旧摊销'!Q19</f>
        <v>3466</v>
      </c>
      <c r="Q42" s="136">
        <f>' 折旧摊销'!R19</f>
        <v>0</v>
      </c>
      <c r="R42" s="136">
        <f>' 折旧摊销'!S19</f>
        <v>0</v>
      </c>
      <c r="S42" s="136">
        <f>' 折旧摊销'!T19</f>
        <v>0</v>
      </c>
      <c r="T42" s="136">
        <f>' 折旧摊销'!U19</f>
        <v>0</v>
      </c>
      <c r="U42" s="136">
        <f>' 折旧摊销'!V19</f>
        <v>0</v>
      </c>
      <c r="V42" s="136">
        <f>' 折旧摊销'!W19</f>
        <v>0</v>
      </c>
      <c r="W42" s="136">
        <f>' 折旧摊销'!X19</f>
        <v>0</v>
      </c>
    </row>
    <row r="43" spans="1:23">
      <c r="A43" s="3">
        <v>4</v>
      </c>
      <c r="B43" s="3" t="s">
        <v>378</v>
      </c>
      <c r="C43" s="3"/>
      <c r="D43" s="207">
        <f>D33+D34+D37+D38</f>
        <v>0</v>
      </c>
      <c r="E43" s="207">
        <f t="shared" ref="E43:W43" si="36">E33+E34+E37+E38</f>
        <v>0</v>
      </c>
      <c r="F43" s="207">
        <f t="shared" si="36"/>
        <v>0</v>
      </c>
      <c r="G43" s="207">
        <f t="shared" si="36"/>
        <v>161058.370551736</v>
      </c>
      <c r="H43" s="207">
        <f t="shared" si="36"/>
        <v>218052.967026541</v>
      </c>
      <c r="I43" s="207">
        <f t="shared" si="36"/>
        <v>219028.47589628</v>
      </c>
      <c r="J43" s="207">
        <f t="shared" si="36"/>
        <v>186015.122291897</v>
      </c>
      <c r="K43" s="207">
        <f t="shared" si="36"/>
        <v>197730.193666252</v>
      </c>
      <c r="L43" s="207">
        <f t="shared" si="36"/>
        <v>202078.519523657</v>
      </c>
      <c r="M43" s="207">
        <f t="shared" si="36"/>
        <v>207349.601540808</v>
      </c>
      <c r="N43" s="207">
        <f t="shared" si="36"/>
        <v>205628.307614518</v>
      </c>
      <c r="O43" s="207">
        <f t="shared" si="36"/>
        <v>218979.563489227</v>
      </c>
      <c r="P43" s="207">
        <f t="shared" si="36"/>
        <v>156443.04464261</v>
      </c>
      <c r="Q43" s="207">
        <f t="shared" si="36"/>
        <v>525.223343437784</v>
      </c>
      <c r="R43" s="207">
        <f t="shared" si="36"/>
        <v>525.223343437784</v>
      </c>
      <c r="S43" s="207">
        <f t="shared" si="36"/>
        <v>525.223343437784</v>
      </c>
      <c r="T43" s="207">
        <f t="shared" si="36"/>
        <v>525.223343437784</v>
      </c>
      <c r="U43" s="207">
        <f t="shared" si="36"/>
        <v>525.223343437784</v>
      </c>
      <c r="V43" s="207">
        <f t="shared" si="36"/>
        <v>525.223343437784</v>
      </c>
      <c r="W43" s="207">
        <f t="shared" si="36"/>
        <v>525.223343437784</v>
      </c>
    </row>
    <row r="44" spans="1:23">
      <c r="A44" s="3">
        <v>5</v>
      </c>
      <c r="B44" s="3" t="s">
        <v>379</v>
      </c>
      <c r="C44" s="3"/>
      <c r="D44" s="207">
        <f>D38+D34</f>
        <v>0</v>
      </c>
      <c r="E44" s="207">
        <f t="shared" ref="E44:W44" si="37">E38+E34</f>
        <v>0</v>
      </c>
      <c r="F44" s="207">
        <f t="shared" si="37"/>
        <v>0</v>
      </c>
      <c r="G44" s="207">
        <f t="shared" si="37"/>
        <v>75267.2264160172</v>
      </c>
      <c r="H44" s="207">
        <f t="shared" si="37"/>
        <v>71108.8819390835</v>
      </c>
      <c r="I44" s="207">
        <f t="shared" si="37"/>
        <v>63908.6217697981</v>
      </c>
      <c r="J44" s="207">
        <f t="shared" si="37"/>
        <v>56307.7489176005</v>
      </c>
      <c r="K44" s="207">
        <f t="shared" si="37"/>
        <v>49952.08762226</v>
      </c>
      <c r="L44" s="207">
        <f t="shared" si="37"/>
        <v>42710.9604261044</v>
      </c>
      <c r="M44" s="207">
        <f t="shared" si="37"/>
        <v>34901.9500303243</v>
      </c>
      <c r="N44" s="207">
        <f t="shared" si="37"/>
        <v>26452.0151063106</v>
      </c>
      <c r="O44" s="207">
        <f t="shared" si="37"/>
        <v>17672.3767734084</v>
      </c>
      <c r="P44" s="207">
        <f t="shared" si="37"/>
        <v>7808.32462433333</v>
      </c>
      <c r="Q44" s="207">
        <f t="shared" si="37"/>
        <v>525.223343437784</v>
      </c>
      <c r="R44" s="207">
        <f t="shared" si="37"/>
        <v>525.223343437784</v>
      </c>
      <c r="S44" s="207">
        <f t="shared" si="37"/>
        <v>525.223343437784</v>
      </c>
      <c r="T44" s="207">
        <f t="shared" si="37"/>
        <v>525.223343437784</v>
      </c>
      <c r="U44" s="207">
        <f t="shared" si="37"/>
        <v>525.223343437784</v>
      </c>
      <c r="V44" s="207">
        <f t="shared" si="37"/>
        <v>525.223343437784</v>
      </c>
      <c r="W44" s="207">
        <f t="shared" si="37"/>
        <v>525.223343437784</v>
      </c>
    </row>
  </sheetData>
  <mergeCells count="23">
    <mergeCell ref="A1:L1"/>
    <mergeCell ref="A2:L2"/>
    <mergeCell ref="A3:C3"/>
    <mergeCell ref="L3:M3"/>
    <mergeCell ref="A4:W4"/>
    <mergeCell ref="B5:C5"/>
    <mergeCell ref="B13:C13"/>
    <mergeCell ref="A14:W14"/>
    <mergeCell ref="A6:A9"/>
    <mergeCell ref="A10:A12"/>
    <mergeCell ref="A15:A22"/>
    <mergeCell ref="A24:A25"/>
    <mergeCell ref="A30:A34"/>
    <mergeCell ref="A35:A38"/>
    <mergeCell ref="A39:A42"/>
    <mergeCell ref="B6:B9"/>
    <mergeCell ref="B10:B12"/>
    <mergeCell ref="B15:B18"/>
    <mergeCell ref="B19:B22"/>
    <mergeCell ref="B24:B25"/>
    <mergeCell ref="B30:B34"/>
    <mergeCell ref="B35:B38"/>
    <mergeCell ref="B39:B42"/>
  </mergeCells>
  <dataValidations count="1">
    <dataValidation type="whole" operator="between" allowBlank="1" showInputMessage="1" showErrorMessage="1" sqref="A15:A22">
      <formula1>0</formula1>
      <formula2>1</formula2>
    </dataValidation>
  </dataValidations>
  <hyperlinks>
    <hyperlink ref="A1:L1" location="目录!A1" display="还本付息计算表"/>
  </hyperlinks>
  <pageMargins left="0.7" right="0.7" top="0.75" bottom="0.75" header="0.3" footer="0.3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92D050"/>
  </sheetPr>
  <dimension ref="A1:V35"/>
  <sheetViews>
    <sheetView workbookViewId="0">
      <selection activeCell="A8" sqref="$A8:$XFD8"/>
    </sheetView>
  </sheetViews>
  <sheetFormatPr defaultColWidth="9" defaultRowHeight="14"/>
  <cols>
    <col min="1" max="1" width="6.12727272727273" customWidth="1"/>
    <col min="2" max="2" width="19.7545454545455" customWidth="1"/>
    <col min="3" max="3" width="6" customWidth="1"/>
    <col min="4" max="4" width="6.12727272727273" customWidth="1"/>
    <col min="5" max="5" width="7.5" customWidth="1"/>
  </cols>
  <sheetData>
    <row r="1" ht="24" customHeight="1" spans="1:6">
      <c r="A1" s="133" t="s">
        <v>380</v>
      </c>
      <c r="B1" s="133"/>
      <c r="C1" s="133"/>
      <c r="D1" s="133"/>
      <c r="E1" s="133"/>
      <c r="F1" s="133"/>
    </row>
    <row r="2" spans="1:22">
      <c r="A2" s="3" t="s">
        <v>2</v>
      </c>
      <c r="B2" s="2" t="s">
        <v>3</v>
      </c>
      <c r="C2" s="2" t="s">
        <v>121</v>
      </c>
      <c r="D2" s="2" t="s">
        <v>122</v>
      </c>
      <c r="E2" s="2" t="s">
        <v>123</v>
      </c>
      <c r="F2" s="2" t="s">
        <v>140</v>
      </c>
      <c r="G2" s="2" t="s">
        <v>141</v>
      </c>
      <c r="H2" s="2" t="s">
        <v>142</v>
      </c>
      <c r="I2" s="2" t="s">
        <v>143</v>
      </c>
      <c r="J2" s="2" t="s">
        <v>144</v>
      </c>
      <c r="K2" s="2" t="s">
        <v>145</v>
      </c>
      <c r="L2" s="2" t="s">
        <v>146</v>
      </c>
      <c r="M2" s="2" t="s">
        <v>147</v>
      </c>
      <c r="N2" s="2" t="s">
        <v>148</v>
      </c>
      <c r="O2" s="2" t="s">
        <v>149</v>
      </c>
      <c r="P2" s="2" t="s">
        <v>150</v>
      </c>
      <c r="Q2" s="2" t="s">
        <v>151</v>
      </c>
      <c r="R2" s="2" t="s">
        <v>152</v>
      </c>
      <c r="S2" s="2" t="s">
        <v>153</v>
      </c>
      <c r="T2" s="2" t="s">
        <v>154</v>
      </c>
      <c r="U2" s="2" t="s">
        <v>155</v>
      </c>
      <c r="V2" s="2" t="s">
        <v>156</v>
      </c>
    </row>
    <row r="3" spans="1:22">
      <c r="A3" s="134">
        <v>1</v>
      </c>
      <c r="B3" s="135" t="s">
        <v>381</v>
      </c>
      <c r="C3" s="136">
        <f>SUM(C4:C6)</f>
        <v>0</v>
      </c>
      <c r="D3" s="136">
        <f t="shared" ref="D3:V3" si="0">SUM(D4:D6)</f>
        <v>0</v>
      </c>
      <c r="E3" s="136">
        <f t="shared" si="0"/>
        <v>0</v>
      </c>
      <c r="F3" s="136">
        <f t="shared" si="0"/>
        <v>430998.965640352</v>
      </c>
      <c r="G3" s="136">
        <f t="shared" si="0"/>
        <v>499329.273840352</v>
      </c>
      <c r="H3" s="136">
        <f t="shared" si="0"/>
        <v>499329.273840352</v>
      </c>
      <c r="I3" s="136">
        <f t="shared" si="0"/>
        <v>499329.273840352</v>
      </c>
      <c r="J3" s="136">
        <f t="shared" si="0"/>
        <v>499329.273840352</v>
      </c>
      <c r="K3" s="136">
        <f t="shared" si="0"/>
        <v>499329.273840352</v>
      </c>
      <c r="L3" s="136">
        <f t="shared" si="0"/>
        <v>499329.273840352</v>
      </c>
      <c r="M3" s="136">
        <f t="shared" si="0"/>
        <v>499329.273840352</v>
      </c>
      <c r="N3" s="136">
        <f t="shared" si="0"/>
        <v>499329.273840352</v>
      </c>
      <c r="O3" s="136">
        <f t="shared" si="0"/>
        <v>499329.273840352</v>
      </c>
      <c r="P3" s="136">
        <f t="shared" si="0"/>
        <v>499329.273840352</v>
      </c>
      <c r="Q3" s="136">
        <f t="shared" si="0"/>
        <v>499329.273840352</v>
      </c>
      <c r="R3" s="136">
        <f t="shared" si="0"/>
        <v>499329.273840352</v>
      </c>
      <c r="S3" s="136">
        <f t="shared" si="0"/>
        <v>499329.273840352</v>
      </c>
      <c r="T3" s="136">
        <f t="shared" si="0"/>
        <v>499329.273840352</v>
      </c>
      <c r="U3" s="136">
        <f t="shared" si="0"/>
        <v>443336.092349427</v>
      </c>
      <c r="V3" s="136">
        <f t="shared" si="0"/>
        <v>394880.454520742</v>
      </c>
    </row>
    <row r="4" spans="1:22">
      <c r="A4" s="137">
        <v>1.1</v>
      </c>
      <c r="B4" s="2" t="s">
        <v>382</v>
      </c>
      <c r="C4" s="136">
        <f>经营成本!J7</f>
        <v>0</v>
      </c>
      <c r="D4" s="136">
        <f>经营成本!K7</f>
        <v>0</v>
      </c>
      <c r="E4" s="136">
        <f>经营成本!L7</f>
        <v>0</v>
      </c>
      <c r="F4" s="136">
        <f>经营成本!M7</f>
        <v>273321.2328</v>
      </c>
      <c r="G4" s="136">
        <f>经营成本!N7</f>
        <v>341651.541</v>
      </c>
      <c r="H4" s="136">
        <f>经营成本!O7</f>
        <v>341651.541</v>
      </c>
      <c r="I4" s="136">
        <f>经营成本!P7</f>
        <v>341651.541</v>
      </c>
      <c r="J4" s="136">
        <f>经营成本!Q7</f>
        <v>341651.541</v>
      </c>
      <c r="K4" s="136">
        <f>经营成本!R7</f>
        <v>341651.541</v>
      </c>
      <c r="L4" s="136">
        <f>经营成本!S7</f>
        <v>341651.541</v>
      </c>
      <c r="M4" s="136">
        <f>经营成本!T7</f>
        <v>341651.541</v>
      </c>
      <c r="N4" s="136">
        <f>经营成本!U7</f>
        <v>341651.541</v>
      </c>
      <c r="O4" s="136">
        <f>经营成本!V7</f>
        <v>341651.541</v>
      </c>
      <c r="P4" s="136">
        <f>经营成本!W7</f>
        <v>341651.541</v>
      </c>
      <c r="Q4" s="136">
        <f>经营成本!X7</f>
        <v>341651.541</v>
      </c>
      <c r="R4" s="136">
        <f>经营成本!Y7</f>
        <v>341651.541</v>
      </c>
      <c r="S4" s="136">
        <f>经营成本!Z7</f>
        <v>341651.541</v>
      </c>
      <c r="T4" s="136">
        <f>经营成本!AA7</f>
        <v>341651.541</v>
      </c>
      <c r="U4" s="136">
        <f>经营成本!AB7</f>
        <v>341651.541</v>
      </c>
      <c r="V4" s="136">
        <f>经营成本!AC7</f>
        <v>341651.541</v>
      </c>
    </row>
    <row r="5" spans="1:22">
      <c r="A5" s="137">
        <v>1.2</v>
      </c>
      <c r="B5" s="2" t="s">
        <v>383</v>
      </c>
      <c r="C5" s="136">
        <f>经营成本!J27</f>
        <v>0</v>
      </c>
      <c r="D5" s="136">
        <f>经营成本!K27</f>
        <v>0</v>
      </c>
      <c r="E5" s="136">
        <f>经营成本!L27</f>
        <v>0</v>
      </c>
      <c r="F5" s="136">
        <f>经营成本!M27</f>
        <v>12270.5</v>
      </c>
      <c r="G5" s="136">
        <f>经营成本!N27</f>
        <v>12270.5</v>
      </c>
      <c r="H5" s="136">
        <f>经营成本!O27</f>
        <v>12270.5</v>
      </c>
      <c r="I5" s="136">
        <f>经营成本!P27</f>
        <v>12270.5</v>
      </c>
      <c r="J5" s="136">
        <f>经营成本!Q27</f>
        <v>12270.5</v>
      </c>
      <c r="K5" s="136">
        <f>经营成本!R27</f>
        <v>12270.5</v>
      </c>
      <c r="L5" s="136">
        <f>经营成本!S27</f>
        <v>12270.5</v>
      </c>
      <c r="M5" s="136">
        <f>经营成本!T27</f>
        <v>12270.5</v>
      </c>
      <c r="N5" s="136">
        <f>经营成本!U27</f>
        <v>12270.5</v>
      </c>
      <c r="O5" s="136">
        <f>经营成本!V27</f>
        <v>12270.5</v>
      </c>
      <c r="P5" s="136">
        <f>经营成本!W27</f>
        <v>12270.5</v>
      </c>
      <c r="Q5" s="136">
        <f>经营成本!X27</f>
        <v>12270.5</v>
      </c>
      <c r="R5" s="136">
        <f>经营成本!Y27</f>
        <v>12270.5</v>
      </c>
      <c r="S5" s="136">
        <f>经营成本!Z27</f>
        <v>12270.5</v>
      </c>
      <c r="T5" s="136">
        <f>经营成本!AA27</f>
        <v>12270.5</v>
      </c>
      <c r="U5" s="136">
        <f>经营成本!AB27</f>
        <v>12270.5</v>
      </c>
      <c r="V5" s="136">
        <f>经营成本!AC27</f>
        <v>12270.5</v>
      </c>
    </row>
    <row r="6" spans="1:22">
      <c r="A6" s="137">
        <v>1.3</v>
      </c>
      <c r="B6" s="2" t="s">
        <v>384</v>
      </c>
      <c r="C6" s="136">
        <f>SUM(C7:C9)</f>
        <v>0</v>
      </c>
      <c r="D6" s="136">
        <f t="shared" ref="D6:V6" si="1">SUM(D7:D9)</f>
        <v>0</v>
      </c>
      <c r="E6" s="136">
        <f t="shared" si="1"/>
        <v>0</v>
      </c>
      <c r="F6" s="136">
        <f t="shared" si="1"/>
        <v>145407.232840352</v>
      </c>
      <c r="G6" s="136">
        <f t="shared" si="1"/>
        <v>145407.232840352</v>
      </c>
      <c r="H6" s="136">
        <f t="shared" si="1"/>
        <v>145407.232840352</v>
      </c>
      <c r="I6" s="136">
        <f t="shared" si="1"/>
        <v>145407.232840352</v>
      </c>
      <c r="J6" s="136">
        <f t="shared" si="1"/>
        <v>145407.232840352</v>
      </c>
      <c r="K6" s="136">
        <f t="shared" si="1"/>
        <v>145407.232840352</v>
      </c>
      <c r="L6" s="136">
        <f t="shared" si="1"/>
        <v>145407.232840352</v>
      </c>
      <c r="M6" s="136">
        <f t="shared" si="1"/>
        <v>145407.232840352</v>
      </c>
      <c r="N6" s="136">
        <f t="shared" si="1"/>
        <v>145407.232840352</v>
      </c>
      <c r="O6" s="136">
        <f t="shared" si="1"/>
        <v>145407.232840352</v>
      </c>
      <c r="P6" s="136">
        <f t="shared" si="1"/>
        <v>145407.232840352</v>
      </c>
      <c r="Q6" s="136">
        <f t="shared" si="1"/>
        <v>145407.232840352</v>
      </c>
      <c r="R6" s="136">
        <f t="shared" si="1"/>
        <v>145407.232840352</v>
      </c>
      <c r="S6" s="136">
        <f t="shared" si="1"/>
        <v>145407.232840352</v>
      </c>
      <c r="T6" s="136">
        <f t="shared" si="1"/>
        <v>145407.232840352</v>
      </c>
      <c r="U6" s="136">
        <f t="shared" si="1"/>
        <v>89414.0513494272</v>
      </c>
      <c r="V6" s="136">
        <f t="shared" si="1"/>
        <v>40958.4135207418</v>
      </c>
    </row>
    <row r="7" spans="1:22">
      <c r="A7" s="137" t="s">
        <v>385</v>
      </c>
      <c r="B7" s="138" t="s">
        <v>386</v>
      </c>
      <c r="C7" s="136">
        <f>' 折旧摊销'!E6</f>
        <v>0</v>
      </c>
      <c r="D7" s="136">
        <f>' 折旧摊销'!F6</f>
        <v>0</v>
      </c>
      <c r="E7" s="136">
        <f>' 折旧摊销'!G6</f>
        <v>0</v>
      </c>
      <c r="F7" s="136">
        <f>' 折旧摊销'!H6</f>
        <v>104448.81931961</v>
      </c>
      <c r="G7" s="136">
        <f>' 折旧摊销'!I6</f>
        <v>104448.81931961</v>
      </c>
      <c r="H7" s="136">
        <f>' 折旧摊销'!J6</f>
        <v>104448.81931961</v>
      </c>
      <c r="I7" s="136">
        <f>' 折旧摊销'!K6</f>
        <v>104448.81931961</v>
      </c>
      <c r="J7" s="136">
        <f>' 折旧摊销'!L6</f>
        <v>104448.81931961</v>
      </c>
      <c r="K7" s="136">
        <f>' 折旧摊销'!M6</f>
        <v>104448.81931961</v>
      </c>
      <c r="L7" s="136">
        <f>' 折旧摊销'!N6</f>
        <v>104448.81931961</v>
      </c>
      <c r="M7" s="136">
        <f>' 折旧摊销'!O6</f>
        <v>104448.81931961</v>
      </c>
      <c r="N7" s="136">
        <f>' 折旧摊销'!P6</f>
        <v>104448.81931961</v>
      </c>
      <c r="O7" s="136">
        <f>' 折旧摊销'!Q6</f>
        <v>104448.81931961</v>
      </c>
      <c r="P7" s="136">
        <f>' 折旧摊销'!R6</f>
        <v>104448.81931961</v>
      </c>
      <c r="Q7" s="136">
        <f>' 折旧摊销'!S6</f>
        <v>104448.81931961</v>
      </c>
      <c r="R7" s="136">
        <f>' 折旧摊销'!T6</f>
        <v>104448.81931961</v>
      </c>
      <c r="S7" s="136">
        <f>' 折旧摊销'!U6</f>
        <v>104448.81931961</v>
      </c>
      <c r="T7" s="136">
        <f>' 折旧摊销'!V6</f>
        <v>104448.81931961</v>
      </c>
      <c r="U7" s="136">
        <f>' 折旧摊销'!W6</f>
        <v>48455.6378286854</v>
      </c>
      <c r="V7" s="136">
        <f>' 折旧摊销'!X6</f>
        <v>0</v>
      </c>
    </row>
    <row r="8" spans="1:22">
      <c r="A8" s="137" t="s">
        <v>387</v>
      </c>
      <c r="B8" s="6" t="s">
        <v>186</v>
      </c>
      <c r="C8" s="136">
        <f>经营成本!J28</f>
        <v>0</v>
      </c>
      <c r="D8" s="136">
        <f>经营成本!K28</f>
        <v>0</v>
      </c>
      <c r="E8" s="136">
        <f>经营成本!L28</f>
        <v>0</v>
      </c>
      <c r="F8" s="139">
        <f>经营成本!M28</f>
        <v>39357.9135207418</v>
      </c>
      <c r="G8" s="136">
        <f>经营成本!N28</f>
        <v>39357.9135207418</v>
      </c>
      <c r="H8" s="136">
        <f>经营成本!O28</f>
        <v>39357.9135207418</v>
      </c>
      <c r="I8" s="136">
        <f>经营成本!P28</f>
        <v>39357.9135207418</v>
      </c>
      <c r="J8" s="136">
        <f>经营成本!Q28</f>
        <v>39357.9135207418</v>
      </c>
      <c r="K8" s="136">
        <f>经营成本!R28</f>
        <v>39357.9135207418</v>
      </c>
      <c r="L8" s="136">
        <f>经营成本!S28</f>
        <v>39357.9135207418</v>
      </c>
      <c r="M8" s="136">
        <f>经营成本!T28</f>
        <v>39357.9135207418</v>
      </c>
      <c r="N8" s="136">
        <f>经营成本!U28</f>
        <v>39357.9135207418</v>
      </c>
      <c r="O8" s="136">
        <f>经营成本!V28</f>
        <v>39357.9135207418</v>
      </c>
      <c r="P8" s="136">
        <f>经营成本!W28</f>
        <v>39357.9135207418</v>
      </c>
      <c r="Q8" s="136">
        <f>经营成本!X28</f>
        <v>39357.9135207418</v>
      </c>
      <c r="R8" s="136">
        <f>经营成本!Y28</f>
        <v>39357.9135207418</v>
      </c>
      <c r="S8" s="136">
        <f>经营成本!Z28</f>
        <v>39357.9135207418</v>
      </c>
      <c r="T8" s="136">
        <f>经营成本!AA28</f>
        <v>39357.9135207418</v>
      </c>
      <c r="U8" s="136">
        <f>经营成本!AB28</f>
        <v>39357.9135207418</v>
      </c>
      <c r="V8" s="136">
        <f>经营成本!AC28</f>
        <v>39357.9135207418</v>
      </c>
    </row>
    <row r="9" spans="1:22">
      <c r="A9" s="137" t="s">
        <v>388</v>
      </c>
      <c r="B9" s="6" t="s">
        <v>389</v>
      </c>
      <c r="C9" s="136">
        <f>经营成本!J30</f>
        <v>0</v>
      </c>
      <c r="D9" s="136">
        <f>经营成本!K30</f>
        <v>0</v>
      </c>
      <c r="E9" s="136">
        <f>经营成本!L30</f>
        <v>0</v>
      </c>
      <c r="F9" s="136">
        <f>经营成本!M30</f>
        <v>1600.5</v>
      </c>
      <c r="G9" s="136">
        <f>经营成本!N30</f>
        <v>1600.5</v>
      </c>
      <c r="H9" s="136">
        <f>经营成本!O30</f>
        <v>1600.5</v>
      </c>
      <c r="I9" s="136">
        <f>经营成本!P30</f>
        <v>1600.5</v>
      </c>
      <c r="J9" s="136">
        <f>经营成本!Q30</f>
        <v>1600.5</v>
      </c>
      <c r="K9" s="136">
        <f>经营成本!R30</f>
        <v>1600.5</v>
      </c>
      <c r="L9" s="136">
        <f>经营成本!S30</f>
        <v>1600.5</v>
      </c>
      <c r="M9" s="136">
        <f>经营成本!T30</f>
        <v>1600.5</v>
      </c>
      <c r="N9" s="136">
        <f>经营成本!U30</f>
        <v>1600.5</v>
      </c>
      <c r="O9" s="136">
        <f>经营成本!V30</f>
        <v>1600.5</v>
      </c>
      <c r="P9" s="136">
        <f>经营成本!W30</f>
        <v>1600.5</v>
      </c>
      <c r="Q9" s="136">
        <f>经营成本!X30</f>
        <v>1600.5</v>
      </c>
      <c r="R9" s="136">
        <f>经营成本!Y30</f>
        <v>1600.5</v>
      </c>
      <c r="S9" s="136">
        <f>经营成本!Z30</f>
        <v>1600.5</v>
      </c>
      <c r="T9" s="136">
        <f>经营成本!AA30</f>
        <v>1600.5</v>
      </c>
      <c r="U9" s="136">
        <f>经营成本!AB30</f>
        <v>1600.5</v>
      </c>
      <c r="V9" s="136">
        <f>经营成本!AC30</f>
        <v>1600.5</v>
      </c>
    </row>
    <row r="10" spans="1:22">
      <c r="A10" s="140" t="s">
        <v>390</v>
      </c>
      <c r="B10" s="141" t="s">
        <v>179</v>
      </c>
      <c r="C10" s="142">
        <f>经营成本!J25</f>
        <v>0</v>
      </c>
      <c r="D10" s="142">
        <f>经营成本!K25</f>
        <v>0</v>
      </c>
      <c r="E10" s="142">
        <f>经营成本!L25</f>
        <v>0</v>
      </c>
      <c r="F10" s="142">
        <f>经营成本!M25</f>
        <v>1200</v>
      </c>
      <c r="G10" s="142">
        <f>经营成本!N25</f>
        <v>1500</v>
      </c>
      <c r="H10" s="142">
        <f>经营成本!O25</f>
        <v>1500</v>
      </c>
      <c r="I10" s="142">
        <f>经营成本!P25</f>
        <v>1500</v>
      </c>
      <c r="J10" s="142">
        <f>经营成本!Q25</f>
        <v>1500</v>
      </c>
      <c r="K10" s="142">
        <f>经营成本!R25</f>
        <v>1500</v>
      </c>
      <c r="L10" s="142">
        <f>经营成本!S25</f>
        <v>1500</v>
      </c>
      <c r="M10" s="142">
        <f>经营成本!T25</f>
        <v>1500</v>
      </c>
      <c r="N10" s="142">
        <f>经营成本!U25</f>
        <v>1500</v>
      </c>
      <c r="O10" s="142">
        <f>经营成本!V25</f>
        <v>1500</v>
      </c>
      <c r="P10" s="142">
        <f>经营成本!W25</f>
        <v>1500</v>
      </c>
      <c r="Q10" s="142">
        <f>经营成本!X25</f>
        <v>1500</v>
      </c>
      <c r="R10" s="142">
        <f>经营成本!Y25</f>
        <v>1500</v>
      </c>
      <c r="S10" s="142">
        <f>经营成本!Z25</f>
        <v>1500</v>
      </c>
      <c r="T10" s="142">
        <f>经营成本!AA25</f>
        <v>1500</v>
      </c>
      <c r="U10" s="142">
        <f>经营成本!AB25</f>
        <v>1500</v>
      </c>
      <c r="V10" s="142">
        <f>经营成本!AC25</f>
        <v>1500</v>
      </c>
    </row>
    <row r="11" spans="1:22">
      <c r="A11" s="140" t="s">
        <v>391</v>
      </c>
      <c r="B11" s="141" t="s">
        <v>181</v>
      </c>
      <c r="C11" s="142">
        <f>经营成本!J26</f>
        <v>0</v>
      </c>
      <c r="D11" s="142">
        <f>经营成本!K26</f>
        <v>0</v>
      </c>
      <c r="E11" s="142">
        <f>经营成本!L26</f>
        <v>0</v>
      </c>
      <c r="F11" s="142">
        <f>经营成本!M26</f>
        <v>3200</v>
      </c>
      <c r="G11" s="142">
        <f>经营成本!N26</f>
        <v>4000</v>
      </c>
      <c r="H11" s="142">
        <f>经营成本!O26</f>
        <v>4000</v>
      </c>
      <c r="I11" s="142">
        <f>经营成本!P26</f>
        <v>4000</v>
      </c>
      <c r="J11" s="142">
        <f>经营成本!Q26</f>
        <v>4000</v>
      </c>
      <c r="K11" s="142">
        <f>经营成本!R26</f>
        <v>4000</v>
      </c>
      <c r="L11" s="142">
        <f>经营成本!S26</f>
        <v>4000</v>
      </c>
      <c r="M11" s="142">
        <f>经营成本!T26</f>
        <v>4000</v>
      </c>
      <c r="N11" s="142">
        <f>经营成本!U26</f>
        <v>4000</v>
      </c>
      <c r="O11" s="142">
        <f>经营成本!V26</f>
        <v>4000</v>
      </c>
      <c r="P11" s="142">
        <f>经营成本!W26</f>
        <v>4000</v>
      </c>
      <c r="Q11" s="142">
        <f>经营成本!X26</f>
        <v>4000</v>
      </c>
      <c r="R11" s="142">
        <f>经营成本!Y26</f>
        <v>4000</v>
      </c>
      <c r="S11" s="142">
        <f>经营成本!Z26</f>
        <v>4000</v>
      </c>
      <c r="T11" s="142">
        <f>经营成本!AA26</f>
        <v>4000</v>
      </c>
      <c r="U11" s="142">
        <f>经营成本!AB26</f>
        <v>4000</v>
      </c>
      <c r="V11" s="142">
        <f>经营成本!AC26</f>
        <v>4000</v>
      </c>
    </row>
    <row r="12" s="132" customFormat="1" spans="1:22">
      <c r="A12" s="134">
        <v>2</v>
      </c>
      <c r="B12" s="135" t="s">
        <v>392</v>
      </c>
      <c r="C12" s="136">
        <f>SUM(C13:C17)</f>
        <v>0</v>
      </c>
      <c r="D12" s="136">
        <f t="shared" ref="D12:V12" si="2">SUM(D13:D17)</f>
        <v>0</v>
      </c>
      <c r="E12" s="136">
        <f t="shared" si="2"/>
        <v>0</v>
      </c>
      <c r="F12" s="136">
        <f t="shared" si="2"/>
        <v>13144.3318520371</v>
      </c>
      <c r="G12" s="136">
        <f t="shared" si="2"/>
        <v>13456.6158960371</v>
      </c>
      <c r="H12" s="136">
        <f t="shared" si="2"/>
        <v>13456.6158960371</v>
      </c>
      <c r="I12" s="136">
        <f t="shared" si="2"/>
        <v>13456.6158960371</v>
      </c>
      <c r="J12" s="136">
        <f t="shared" si="2"/>
        <v>13456.6158960371</v>
      </c>
      <c r="K12" s="136">
        <f t="shared" si="2"/>
        <v>11796.8158960371</v>
      </c>
      <c r="L12" s="136">
        <f t="shared" si="2"/>
        <v>11796.8158960371</v>
      </c>
      <c r="M12" s="136">
        <f t="shared" si="2"/>
        <v>11796.8158960371</v>
      </c>
      <c r="N12" s="136">
        <f t="shared" si="2"/>
        <v>11796.8158960371</v>
      </c>
      <c r="O12" s="136">
        <f t="shared" si="2"/>
        <v>11796.8158960371</v>
      </c>
      <c r="P12" s="136">
        <f t="shared" si="2"/>
        <v>8330.81589603709</v>
      </c>
      <c r="Q12" s="136">
        <f t="shared" si="2"/>
        <v>8330.81589603709</v>
      </c>
      <c r="R12" s="136">
        <f t="shared" si="2"/>
        <v>8330.81589603709</v>
      </c>
      <c r="S12" s="136">
        <f t="shared" si="2"/>
        <v>8330.81589603709</v>
      </c>
      <c r="T12" s="136">
        <f t="shared" si="2"/>
        <v>8330.81589603709</v>
      </c>
      <c r="U12" s="136">
        <f t="shared" si="2"/>
        <v>8330.81589603709</v>
      </c>
      <c r="V12" s="136">
        <f t="shared" si="2"/>
        <v>8330.81589603709</v>
      </c>
    </row>
    <row r="13" spans="1:22">
      <c r="A13" s="3"/>
      <c r="B13" s="143" t="s">
        <v>393</v>
      </c>
      <c r="C13" s="136">
        <f>' 折旧摊销'!E14</f>
        <v>0</v>
      </c>
      <c r="D13" s="136">
        <f>' 折旧摊销'!F14</f>
        <v>0</v>
      </c>
      <c r="E13" s="136">
        <f>' 折旧摊销'!G14</f>
        <v>0</v>
      </c>
      <c r="F13" s="136">
        <f>' 折旧摊销'!H14</f>
        <v>3466</v>
      </c>
      <c r="G13" s="136">
        <f>' 折旧摊销'!I14</f>
        <v>3466</v>
      </c>
      <c r="H13" s="136">
        <f>' 折旧摊销'!J14</f>
        <v>3466</v>
      </c>
      <c r="I13" s="136">
        <f>' 折旧摊销'!K14</f>
        <v>3466</v>
      </c>
      <c r="J13" s="136">
        <f>' 折旧摊销'!L14</f>
        <v>3466</v>
      </c>
      <c r="K13" s="136">
        <f>' 折旧摊销'!M14</f>
        <v>3466</v>
      </c>
      <c r="L13" s="136">
        <f>' 折旧摊销'!N14</f>
        <v>3466</v>
      </c>
      <c r="M13" s="136">
        <f>' 折旧摊销'!O14</f>
        <v>3466</v>
      </c>
      <c r="N13" s="136">
        <f>' 折旧摊销'!P14</f>
        <v>3466</v>
      </c>
      <c r="O13" s="136">
        <f>' 折旧摊销'!Q14</f>
        <v>3466</v>
      </c>
      <c r="P13" s="136">
        <f>' 折旧摊销'!R14</f>
        <v>0</v>
      </c>
      <c r="Q13" s="136">
        <f>' 折旧摊销'!S14</f>
        <v>0</v>
      </c>
      <c r="R13" s="136">
        <f>' 折旧摊销'!T14</f>
        <v>0</v>
      </c>
      <c r="S13" s="136">
        <f>' 折旧摊销'!U14</f>
        <v>0</v>
      </c>
      <c r="T13" s="136">
        <f>' 折旧摊销'!V14</f>
        <v>0</v>
      </c>
      <c r="U13" s="136">
        <f>' 折旧摊销'!W14</f>
        <v>0</v>
      </c>
      <c r="V13" s="136">
        <f>' 折旧摊销'!X14</f>
        <v>0</v>
      </c>
    </row>
    <row r="14" spans="1:22">
      <c r="A14" s="3"/>
      <c r="B14" s="143" t="s">
        <v>394</v>
      </c>
      <c r="C14" s="136">
        <f>' 折旧摊销'!E17</f>
        <v>0</v>
      </c>
      <c r="D14" s="136">
        <f>' 折旧摊销'!F17</f>
        <v>0</v>
      </c>
      <c r="E14" s="136">
        <f>' 折旧摊销'!G17</f>
        <v>0</v>
      </c>
      <c r="F14" s="136">
        <f>' 折旧摊销'!H17</f>
        <v>1659.8</v>
      </c>
      <c r="G14" s="136">
        <f>' 折旧摊销'!I17</f>
        <v>1659.8</v>
      </c>
      <c r="H14" s="136">
        <f>' 折旧摊销'!J17</f>
        <v>1659.8</v>
      </c>
      <c r="I14" s="136">
        <f>' 折旧摊销'!K17</f>
        <v>1659.8</v>
      </c>
      <c r="J14" s="136">
        <f>' 折旧摊销'!L17</f>
        <v>1659.8</v>
      </c>
      <c r="K14" s="136">
        <f>' 折旧摊销'!M17</f>
        <v>0</v>
      </c>
      <c r="L14" s="136">
        <f>' 折旧摊销'!N17</f>
        <v>0</v>
      </c>
      <c r="M14" s="136">
        <f>' 折旧摊销'!O17</f>
        <v>0</v>
      </c>
      <c r="N14" s="136">
        <f>' 折旧摊销'!P17</f>
        <v>0</v>
      </c>
      <c r="O14" s="136">
        <f>' 折旧摊销'!Q17</f>
        <v>0</v>
      </c>
      <c r="P14" s="136">
        <f>' 折旧摊销'!R17</f>
        <v>0</v>
      </c>
      <c r="Q14" s="136">
        <f>' 折旧摊销'!S17</f>
        <v>0</v>
      </c>
      <c r="R14" s="136">
        <f>' 折旧摊销'!T17</f>
        <v>0</v>
      </c>
      <c r="S14" s="136">
        <f>' 折旧摊销'!U17</f>
        <v>0</v>
      </c>
      <c r="T14" s="136">
        <f>' 折旧摊销'!V17</f>
        <v>0</v>
      </c>
      <c r="U14" s="136">
        <f>' 折旧摊销'!W17</f>
        <v>0</v>
      </c>
      <c r="V14" s="136">
        <f>' 折旧摊销'!X17</f>
        <v>0</v>
      </c>
    </row>
    <row r="15" spans="1:22">
      <c r="A15" s="3"/>
      <c r="B15" s="2" t="s">
        <v>395</v>
      </c>
      <c r="C15" s="136">
        <f>经营成本!J31</f>
        <v>0</v>
      </c>
      <c r="D15" s="136">
        <f>经营成本!K31</f>
        <v>0</v>
      </c>
      <c r="E15" s="136">
        <f>经营成本!L31</f>
        <v>0</v>
      </c>
      <c r="F15" s="136">
        <f>经营成本!M31</f>
        <v>4801.5</v>
      </c>
      <c r="G15" s="136">
        <f>经营成本!N31</f>
        <v>4801.5</v>
      </c>
      <c r="H15" s="136">
        <f>经营成本!O31</f>
        <v>4801.5</v>
      </c>
      <c r="I15" s="136">
        <f>经营成本!P31</f>
        <v>4801.5</v>
      </c>
      <c r="J15" s="136">
        <f>经营成本!Q31</f>
        <v>4801.5</v>
      </c>
      <c r="K15" s="136">
        <f>经营成本!R31</f>
        <v>4801.5</v>
      </c>
      <c r="L15" s="136">
        <f>经营成本!S31</f>
        <v>4801.5</v>
      </c>
      <c r="M15" s="136">
        <f>经营成本!T31</f>
        <v>4801.5</v>
      </c>
      <c r="N15" s="136">
        <f>经营成本!U31</f>
        <v>4801.5</v>
      </c>
      <c r="O15" s="136">
        <f>经营成本!V31</f>
        <v>4801.5</v>
      </c>
      <c r="P15" s="136">
        <f>经营成本!W31</f>
        <v>4801.5</v>
      </c>
      <c r="Q15" s="136">
        <f>经营成本!X31</f>
        <v>4801.5</v>
      </c>
      <c r="R15" s="136">
        <f>经营成本!Y31</f>
        <v>4801.5</v>
      </c>
      <c r="S15" s="136">
        <f>经营成本!Z31</f>
        <v>4801.5</v>
      </c>
      <c r="T15" s="136">
        <f>经营成本!AA31</f>
        <v>4801.5</v>
      </c>
      <c r="U15" s="136">
        <f>经营成本!AB31</f>
        <v>4801.5</v>
      </c>
      <c r="V15" s="136">
        <f>经营成本!AC31</f>
        <v>4801.5</v>
      </c>
    </row>
    <row r="16" spans="1:22">
      <c r="A16" s="3"/>
      <c r="B16" s="2" t="s">
        <v>396</v>
      </c>
      <c r="C16" s="136">
        <f>经营成本!J33</f>
        <v>0</v>
      </c>
      <c r="D16" s="136">
        <f>经营成本!K33</f>
        <v>0</v>
      </c>
      <c r="E16" s="136">
        <f>经营成本!L33</f>
        <v>0</v>
      </c>
      <c r="F16" s="136">
        <f>经营成本!M33</f>
        <v>1249.136176</v>
      </c>
      <c r="G16" s="136">
        <f>经营成本!N33</f>
        <v>1561.42022</v>
      </c>
      <c r="H16" s="136">
        <f>经营成本!O33</f>
        <v>1561.42022</v>
      </c>
      <c r="I16" s="136">
        <f>经营成本!P33</f>
        <v>1561.42022</v>
      </c>
      <c r="J16" s="136">
        <f>经营成本!Q33</f>
        <v>1561.42022</v>
      </c>
      <c r="K16" s="136">
        <f>经营成本!R33</f>
        <v>1561.42022</v>
      </c>
      <c r="L16" s="136">
        <f>经营成本!S33</f>
        <v>1561.42022</v>
      </c>
      <c r="M16" s="136">
        <f>经营成本!T33</f>
        <v>1561.42022</v>
      </c>
      <c r="N16" s="136">
        <f>经营成本!U33</f>
        <v>1561.42022</v>
      </c>
      <c r="O16" s="136">
        <f>经营成本!V33</f>
        <v>1561.42022</v>
      </c>
      <c r="P16" s="136">
        <f>经营成本!W33</f>
        <v>1561.42022</v>
      </c>
      <c r="Q16" s="136">
        <f>经营成本!X33</f>
        <v>1561.42022</v>
      </c>
      <c r="R16" s="136">
        <f>经营成本!Y33</f>
        <v>1561.42022</v>
      </c>
      <c r="S16" s="136">
        <f>经营成本!Z33</f>
        <v>1561.42022</v>
      </c>
      <c r="T16" s="136">
        <f>经营成本!AA33</f>
        <v>1561.42022</v>
      </c>
      <c r="U16" s="136">
        <f>经营成本!AB33</f>
        <v>1561.42022</v>
      </c>
      <c r="V16" s="136">
        <f>经营成本!AC33</f>
        <v>1561.42022</v>
      </c>
    </row>
    <row r="17" spans="1:22">
      <c r="A17" s="3"/>
      <c r="B17" s="2" t="s">
        <v>195</v>
      </c>
      <c r="C17" s="136">
        <f>经营成本!J34</f>
        <v>0</v>
      </c>
      <c r="D17" s="136">
        <f>经营成本!K34</f>
        <v>0</v>
      </c>
      <c r="E17" s="136">
        <f>经营成本!L34</f>
        <v>0</v>
      </c>
      <c r="F17" s="136">
        <f>经营成本!M34</f>
        <v>1967.89567603709</v>
      </c>
      <c r="G17" s="136">
        <f>经营成本!N34</f>
        <v>1967.89567603709</v>
      </c>
      <c r="H17" s="136">
        <f>经营成本!O34</f>
        <v>1967.89567603709</v>
      </c>
      <c r="I17" s="136">
        <f>经营成本!P34</f>
        <v>1967.89567603709</v>
      </c>
      <c r="J17" s="136">
        <f>经营成本!Q34</f>
        <v>1967.89567603709</v>
      </c>
      <c r="K17" s="136">
        <f>经营成本!R34</f>
        <v>1967.89567603709</v>
      </c>
      <c r="L17" s="136">
        <f>经营成本!S34</f>
        <v>1967.89567603709</v>
      </c>
      <c r="M17" s="136">
        <f>经营成本!T34</f>
        <v>1967.89567603709</v>
      </c>
      <c r="N17" s="136">
        <f>经营成本!U34</f>
        <v>1967.89567603709</v>
      </c>
      <c r="O17" s="136">
        <f>经营成本!V34</f>
        <v>1967.89567603709</v>
      </c>
      <c r="P17" s="136">
        <f>经营成本!W34</f>
        <v>1967.89567603709</v>
      </c>
      <c r="Q17" s="136">
        <f>经营成本!X34</f>
        <v>1967.89567603709</v>
      </c>
      <c r="R17" s="136">
        <f>经营成本!Y34</f>
        <v>1967.89567603709</v>
      </c>
      <c r="S17" s="136">
        <f>经营成本!Z34</f>
        <v>1967.89567603709</v>
      </c>
      <c r="T17" s="136">
        <f>经营成本!AA34</f>
        <v>1967.89567603709</v>
      </c>
      <c r="U17" s="136">
        <f>经营成本!AB34</f>
        <v>1967.89567603709</v>
      </c>
      <c r="V17" s="136">
        <f>经营成本!AC34</f>
        <v>1967.89567603709</v>
      </c>
    </row>
    <row r="18" spans="1:22">
      <c r="A18" s="134">
        <v>3</v>
      </c>
      <c r="B18" s="135" t="s">
        <v>397</v>
      </c>
      <c r="C18" s="136">
        <f>C19+C20</f>
        <v>0</v>
      </c>
      <c r="D18" s="136">
        <f t="shared" ref="D18:V18" si="3">D19+D20</f>
        <v>0</v>
      </c>
      <c r="E18" s="136">
        <f t="shared" si="3"/>
        <v>0</v>
      </c>
      <c r="F18" s="136">
        <f t="shared" si="3"/>
        <v>75267.2264160172</v>
      </c>
      <c r="G18" s="136">
        <f t="shared" si="3"/>
        <v>71108.8819390835</v>
      </c>
      <c r="H18" s="136">
        <f t="shared" si="3"/>
        <v>63908.6217697981</v>
      </c>
      <c r="I18" s="136">
        <f t="shared" si="3"/>
        <v>56307.7489176005</v>
      </c>
      <c r="J18" s="136">
        <f t="shared" si="3"/>
        <v>49952.08762226</v>
      </c>
      <c r="K18" s="136">
        <f t="shared" si="3"/>
        <v>42710.9604261044</v>
      </c>
      <c r="L18" s="136">
        <f t="shared" si="3"/>
        <v>34901.9500303243</v>
      </c>
      <c r="M18" s="136">
        <f t="shared" si="3"/>
        <v>26452.0151063106</v>
      </c>
      <c r="N18" s="136">
        <f t="shared" si="3"/>
        <v>17672.3767734084</v>
      </c>
      <c r="O18" s="136">
        <f t="shared" si="3"/>
        <v>7808.32462433333</v>
      </c>
      <c r="P18" s="136">
        <f t="shared" si="3"/>
        <v>525.223343437784</v>
      </c>
      <c r="Q18" s="136">
        <f t="shared" si="3"/>
        <v>525.223343437784</v>
      </c>
      <c r="R18" s="136">
        <f t="shared" si="3"/>
        <v>525.223343437784</v>
      </c>
      <c r="S18" s="136">
        <f t="shared" si="3"/>
        <v>525.223343437784</v>
      </c>
      <c r="T18" s="136">
        <f t="shared" si="3"/>
        <v>525.223343437784</v>
      </c>
      <c r="U18" s="136">
        <f t="shared" si="3"/>
        <v>525.223343437784</v>
      </c>
      <c r="V18" s="136">
        <f t="shared" si="3"/>
        <v>525.223343437784</v>
      </c>
    </row>
    <row r="19" spans="1:22">
      <c r="A19" s="2"/>
      <c r="B19" s="2" t="s">
        <v>398</v>
      </c>
      <c r="C19" s="136">
        <f>还本付息!D34</f>
        <v>0</v>
      </c>
      <c r="D19" s="136">
        <f>还本付息!E34</f>
        <v>0</v>
      </c>
      <c r="E19" s="136">
        <f>还本付息!F34</f>
        <v>0</v>
      </c>
      <c r="F19" s="136">
        <f>还本付息!G34</f>
        <v>74787.424658296</v>
      </c>
      <c r="G19" s="136">
        <f>还本付息!H34</f>
        <v>70583.6585956458</v>
      </c>
      <c r="H19" s="136">
        <f>还本付息!I34</f>
        <v>63383.3984263603</v>
      </c>
      <c r="I19" s="136">
        <f>还本付息!J34</f>
        <v>55782.5255741627</v>
      </c>
      <c r="J19" s="136">
        <f>还本付息!K34</f>
        <v>49426.8642788222</v>
      </c>
      <c r="K19" s="136">
        <f>还本付息!L34</f>
        <v>42185.7370826666</v>
      </c>
      <c r="L19" s="136">
        <f>还本付息!M34</f>
        <v>34376.7266868865</v>
      </c>
      <c r="M19" s="136">
        <f>还本付息!N34</f>
        <v>25926.7917628728</v>
      </c>
      <c r="N19" s="136">
        <f>还本付息!O34</f>
        <v>17147.1534299706</v>
      </c>
      <c r="O19" s="136">
        <f>还本付息!P34</f>
        <v>7283.10128089554</v>
      </c>
      <c r="P19" s="136">
        <f>还本付息!Q34</f>
        <v>0</v>
      </c>
      <c r="Q19" s="136">
        <f>还本付息!R34</f>
        <v>0</v>
      </c>
      <c r="R19" s="136">
        <f>还本付息!S34</f>
        <v>0</v>
      </c>
      <c r="S19" s="136">
        <f>还本付息!T34</f>
        <v>0</v>
      </c>
      <c r="T19" s="136">
        <f>还本付息!U34</f>
        <v>0</v>
      </c>
      <c r="U19" s="136">
        <f>还本付息!V34</f>
        <v>0</v>
      </c>
      <c r="V19" s="136">
        <f>还本付息!W34</f>
        <v>0</v>
      </c>
    </row>
    <row r="20" spans="1:22">
      <c r="A20" s="2"/>
      <c r="B20" s="2" t="s">
        <v>399</v>
      </c>
      <c r="C20" s="136">
        <f>还本付息!D38</f>
        <v>0</v>
      </c>
      <c r="D20" s="136">
        <f>还本付息!E38</f>
        <v>0</v>
      </c>
      <c r="E20" s="136">
        <f>还本付息!F38</f>
        <v>0</v>
      </c>
      <c r="F20" s="136">
        <f>还本付息!G38</f>
        <v>479.801757721205</v>
      </c>
      <c r="G20" s="136">
        <f>还本付息!H38</f>
        <v>525.223343437784</v>
      </c>
      <c r="H20" s="136">
        <f>还本付息!I38</f>
        <v>525.223343437784</v>
      </c>
      <c r="I20" s="136">
        <f>还本付息!J38</f>
        <v>525.223343437784</v>
      </c>
      <c r="J20" s="136">
        <f>还本付息!K38</f>
        <v>525.223343437784</v>
      </c>
      <c r="K20" s="136">
        <f>还本付息!L38</f>
        <v>525.223343437784</v>
      </c>
      <c r="L20" s="136">
        <f>还本付息!M38</f>
        <v>525.223343437784</v>
      </c>
      <c r="M20" s="136">
        <f>还本付息!N38</f>
        <v>525.223343437784</v>
      </c>
      <c r="N20" s="136">
        <f>还本付息!O38</f>
        <v>525.223343437784</v>
      </c>
      <c r="O20" s="136">
        <f>还本付息!P38</f>
        <v>525.223343437784</v>
      </c>
      <c r="P20" s="136">
        <f>还本付息!Q38</f>
        <v>525.223343437784</v>
      </c>
      <c r="Q20" s="136">
        <f>还本付息!R38</f>
        <v>525.223343437784</v>
      </c>
      <c r="R20" s="136">
        <f>还本付息!S38</f>
        <v>525.223343437784</v>
      </c>
      <c r="S20" s="136">
        <f>还本付息!T38</f>
        <v>525.223343437784</v>
      </c>
      <c r="T20" s="136">
        <f>还本付息!U38</f>
        <v>525.223343437784</v>
      </c>
      <c r="U20" s="136">
        <f>还本付息!V38</f>
        <v>525.223343437784</v>
      </c>
      <c r="V20" s="136">
        <f>还本付息!W38</f>
        <v>525.223343437784</v>
      </c>
    </row>
    <row r="21" spans="1:22">
      <c r="A21" s="134">
        <v>4</v>
      </c>
      <c r="B21" s="144" t="s">
        <v>400</v>
      </c>
      <c r="C21" s="136">
        <f>经营成本!J32</f>
        <v>0</v>
      </c>
      <c r="D21" s="136">
        <f>经营成本!K32</f>
        <v>0</v>
      </c>
      <c r="E21" s="136">
        <f>经营成本!L32</f>
        <v>0</v>
      </c>
      <c r="F21" s="136">
        <f>经营成本!M32</f>
        <v>312.284044</v>
      </c>
      <c r="G21" s="136">
        <f>经营成本!N32</f>
        <v>390.355055</v>
      </c>
      <c r="H21" s="136">
        <f>经营成本!O32</f>
        <v>390.355055</v>
      </c>
      <c r="I21" s="136">
        <f>经营成本!P32</f>
        <v>390.355055</v>
      </c>
      <c r="J21" s="136">
        <f>经营成本!Q32</f>
        <v>390.355055</v>
      </c>
      <c r="K21" s="136">
        <f>经营成本!R32</f>
        <v>390.355055</v>
      </c>
      <c r="L21" s="136">
        <f>经营成本!S32</f>
        <v>390.355055</v>
      </c>
      <c r="M21" s="136">
        <f>经营成本!T32</f>
        <v>390.355055</v>
      </c>
      <c r="N21" s="136">
        <f>经营成本!U32</f>
        <v>390.355055</v>
      </c>
      <c r="O21" s="136">
        <f>经营成本!V32</f>
        <v>390.355055</v>
      </c>
      <c r="P21" s="136">
        <f>经营成本!W32</f>
        <v>390.355055</v>
      </c>
      <c r="Q21" s="136">
        <f>经营成本!X32</f>
        <v>390.355055</v>
      </c>
      <c r="R21" s="136">
        <f>经营成本!Y32</f>
        <v>390.355055</v>
      </c>
      <c r="S21" s="136">
        <f>经营成本!Z32</f>
        <v>390.355055</v>
      </c>
      <c r="T21" s="136">
        <f>经营成本!AA32</f>
        <v>390.355055</v>
      </c>
      <c r="U21" s="136">
        <f>经营成本!AB32</f>
        <v>390.355055</v>
      </c>
      <c r="V21" s="136">
        <f>经营成本!AC32</f>
        <v>390.355055</v>
      </c>
    </row>
    <row r="22" spans="1:22">
      <c r="A22" s="145">
        <v>5</v>
      </c>
      <c r="B22" s="146" t="s">
        <v>197</v>
      </c>
      <c r="C22" s="136">
        <f>经营成本!J37</f>
        <v>0</v>
      </c>
      <c r="D22" s="136">
        <f>经营成本!K37</f>
        <v>0</v>
      </c>
      <c r="E22" s="136">
        <f>经营成本!L37</f>
        <v>0</v>
      </c>
      <c r="F22" s="136">
        <f>经营成本!M37</f>
        <v>508.8</v>
      </c>
      <c r="G22" s="136">
        <f>经营成本!N37</f>
        <v>636</v>
      </c>
      <c r="H22" s="136">
        <f>经营成本!O37</f>
        <v>636</v>
      </c>
      <c r="I22" s="136">
        <f>经营成本!P37</f>
        <v>636</v>
      </c>
      <c r="J22" s="136">
        <f>经营成本!Q37</f>
        <v>636</v>
      </c>
      <c r="K22" s="136">
        <f>经营成本!R37</f>
        <v>636</v>
      </c>
      <c r="L22" s="136">
        <f>经营成本!S37</f>
        <v>636</v>
      </c>
      <c r="M22" s="136">
        <f>经营成本!T37</f>
        <v>636</v>
      </c>
      <c r="N22" s="136">
        <f>经营成本!U37</f>
        <v>636</v>
      </c>
      <c r="O22" s="136">
        <f>经营成本!V37</f>
        <v>636</v>
      </c>
      <c r="P22" s="136">
        <f>经营成本!W37</f>
        <v>636</v>
      </c>
      <c r="Q22" s="136">
        <f>经营成本!X37</f>
        <v>636</v>
      </c>
      <c r="R22" s="136">
        <f>经营成本!Y37</f>
        <v>636</v>
      </c>
      <c r="S22" s="136">
        <f>经营成本!Z37</f>
        <v>636</v>
      </c>
      <c r="T22" s="136">
        <f>经营成本!AA37</f>
        <v>636</v>
      </c>
      <c r="U22" s="136">
        <f>经营成本!AB37</f>
        <v>636</v>
      </c>
      <c r="V22" s="136">
        <f>经营成本!AC37</f>
        <v>636</v>
      </c>
    </row>
    <row r="23" spans="1:22">
      <c r="A23" s="145">
        <v>6</v>
      </c>
      <c r="B23" s="146" t="s">
        <v>198</v>
      </c>
      <c r="C23" s="136">
        <f>经营成本!J38</f>
        <v>0</v>
      </c>
      <c r="D23" s="136">
        <f>经营成本!K38</f>
        <v>0</v>
      </c>
      <c r="E23" s="136">
        <f>经营成本!L38</f>
        <v>0</v>
      </c>
      <c r="F23" s="136">
        <f>经营成本!M38</f>
        <v>1419.2</v>
      </c>
      <c r="G23" s="136">
        <f>经营成本!N38</f>
        <v>1774</v>
      </c>
      <c r="H23" s="136">
        <f>经营成本!O38</f>
        <v>1774</v>
      </c>
      <c r="I23" s="136">
        <f>经营成本!P38</f>
        <v>1774</v>
      </c>
      <c r="J23" s="136">
        <f>经营成本!Q38</f>
        <v>1774</v>
      </c>
      <c r="K23" s="136">
        <f>经营成本!R38</f>
        <v>1774</v>
      </c>
      <c r="L23" s="136">
        <f>经营成本!S38</f>
        <v>1774</v>
      </c>
      <c r="M23" s="136">
        <f>经营成本!T38</f>
        <v>1774</v>
      </c>
      <c r="N23" s="136">
        <f>经营成本!U38</f>
        <v>1774</v>
      </c>
      <c r="O23" s="136">
        <f>经营成本!V38</f>
        <v>1774</v>
      </c>
      <c r="P23" s="136">
        <f>经营成本!W38</f>
        <v>1774</v>
      </c>
      <c r="Q23" s="136">
        <f>经营成本!X38</f>
        <v>1774</v>
      </c>
      <c r="R23" s="136">
        <f>经营成本!Y38</f>
        <v>1774</v>
      </c>
      <c r="S23" s="136">
        <f>经营成本!Z38</f>
        <v>1774</v>
      </c>
      <c r="T23" s="136">
        <f>经营成本!AA38</f>
        <v>1774</v>
      </c>
      <c r="U23" s="136">
        <f>经营成本!AB38</f>
        <v>1774</v>
      </c>
      <c r="V23" s="136">
        <f>经营成本!AC38</f>
        <v>1774</v>
      </c>
    </row>
    <row r="24" s="132" customFormat="1" spans="1:22">
      <c r="A24" s="145">
        <v>7</v>
      </c>
      <c r="B24" s="146" t="s">
        <v>199</v>
      </c>
      <c r="C24" s="136">
        <f>经营成本!J39</f>
        <v>0</v>
      </c>
      <c r="D24" s="136">
        <f>经营成本!K39</f>
        <v>0</v>
      </c>
      <c r="E24" s="136">
        <f>经营成本!L39</f>
        <v>0</v>
      </c>
      <c r="F24" s="136">
        <f>经营成本!M39</f>
        <v>1071.2</v>
      </c>
      <c r="G24" s="136">
        <f>经营成本!N39</f>
        <v>1339</v>
      </c>
      <c r="H24" s="136">
        <f>经营成本!O39</f>
        <v>1339</v>
      </c>
      <c r="I24" s="136">
        <f>经营成本!P39</f>
        <v>1339</v>
      </c>
      <c r="J24" s="136">
        <f>经营成本!Q39</f>
        <v>1339</v>
      </c>
      <c r="K24" s="136">
        <f>经营成本!R39</f>
        <v>1339</v>
      </c>
      <c r="L24" s="136">
        <f>经营成本!S39</f>
        <v>1339</v>
      </c>
      <c r="M24" s="136">
        <f>经营成本!T39</f>
        <v>1339</v>
      </c>
      <c r="N24" s="136">
        <f>经营成本!U39</f>
        <v>1339</v>
      </c>
      <c r="O24" s="136">
        <f>经营成本!V39</f>
        <v>1339</v>
      </c>
      <c r="P24" s="136">
        <f>经营成本!W39</f>
        <v>1339</v>
      </c>
      <c r="Q24" s="136">
        <f>经营成本!X39</f>
        <v>1339</v>
      </c>
      <c r="R24" s="136">
        <f>经营成本!Y39</f>
        <v>1339</v>
      </c>
      <c r="S24" s="136">
        <f>经营成本!Z39</f>
        <v>1339</v>
      </c>
      <c r="T24" s="136">
        <f>经营成本!AA39</f>
        <v>1339</v>
      </c>
      <c r="U24" s="136">
        <f>经营成本!AB39</f>
        <v>1339</v>
      </c>
      <c r="V24" s="136">
        <f>经营成本!AC39</f>
        <v>1339</v>
      </c>
    </row>
    <row r="25" spans="1:22">
      <c r="A25" s="145">
        <v>8</v>
      </c>
      <c r="B25" s="146" t="s">
        <v>200</v>
      </c>
      <c r="C25" s="136">
        <f>经营成本!J40</f>
        <v>0</v>
      </c>
      <c r="D25" s="136">
        <f>经营成本!K40</f>
        <v>0</v>
      </c>
      <c r="E25" s="136">
        <f>经营成本!L40</f>
        <v>0</v>
      </c>
      <c r="F25" s="136">
        <f>经营成本!M40</f>
        <v>99.2</v>
      </c>
      <c r="G25" s="136">
        <f>经营成本!N40</f>
        <v>124</v>
      </c>
      <c r="H25" s="136">
        <f>经营成本!O40</f>
        <v>124</v>
      </c>
      <c r="I25" s="136">
        <f>经营成本!P40</f>
        <v>124</v>
      </c>
      <c r="J25" s="136">
        <f>经营成本!Q40</f>
        <v>124</v>
      </c>
      <c r="K25" s="136">
        <f>经营成本!R40</f>
        <v>124</v>
      </c>
      <c r="L25" s="136">
        <f>经营成本!S40</f>
        <v>124</v>
      </c>
      <c r="M25" s="136">
        <f>经营成本!T40</f>
        <v>124</v>
      </c>
      <c r="N25" s="136">
        <f>经营成本!U40</f>
        <v>124</v>
      </c>
      <c r="O25" s="136">
        <f>经营成本!V40</f>
        <v>124</v>
      </c>
      <c r="P25" s="136">
        <f>经营成本!W40</f>
        <v>124</v>
      </c>
      <c r="Q25" s="136">
        <f>经营成本!X40</f>
        <v>124</v>
      </c>
      <c r="R25" s="136">
        <f>经营成本!Y40</f>
        <v>124</v>
      </c>
      <c r="S25" s="136">
        <f>经营成本!Z40</f>
        <v>124</v>
      </c>
      <c r="T25" s="136">
        <f>经营成本!AA40</f>
        <v>124</v>
      </c>
      <c r="U25" s="136">
        <f>经营成本!AB40</f>
        <v>124</v>
      </c>
      <c r="V25" s="136">
        <f>经营成本!AC40</f>
        <v>124</v>
      </c>
    </row>
    <row r="26" spans="1:22">
      <c r="A26" s="145">
        <v>9</v>
      </c>
      <c r="B26" s="146" t="s">
        <v>201</v>
      </c>
      <c r="C26" s="136">
        <f>经营成本!J41</f>
        <v>0</v>
      </c>
      <c r="D26" s="136">
        <f>经营成本!K41</f>
        <v>0</v>
      </c>
      <c r="E26" s="136">
        <f>经营成本!L41</f>
        <v>0</v>
      </c>
      <c r="F26" s="136">
        <f>经营成本!M41</f>
        <v>696</v>
      </c>
      <c r="G26" s="136">
        <f>经营成本!N41</f>
        <v>870</v>
      </c>
      <c r="H26" s="136">
        <f>经营成本!O41</f>
        <v>870</v>
      </c>
      <c r="I26" s="136">
        <f>经营成本!P41</f>
        <v>870</v>
      </c>
      <c r="J26" s="136">
        <f>经营成本!Q41</f>
        <v>870</v>
      </c>
      <c r="K26" s="136">
        <f>经营成本!R41</f>
        <v>870</v>
      </c>
      <c r="L26" s="136">
        <f>经营成本!S41</f>
        <v>870</v>
      </c>
      <c r="M26" s="136">
        <f>经营成本!T41</f>
        <v>870</v>
      </c>
      <c r="N26" s="136">
        <f>经营成本!U41</f>
        <v>870</v>
      </c>
      <c r="O26" s="136">
        <f>经营成本!V41</f>
        <v>870</v>
      </c>
      <c r="P26" s="136">
        <f>经营成本!W41</f>
        <v>870</v>
      </c>
      <c r="Q26" s="136">
        <f>经营成本!X41</f>
        <v>870</v>
      </c>
      <c r="R26" s="136">
        <f>经营成本!Y41</f>
        <v>870</v>
      </c>
      <c r="S26" s="136">
        <f>经营成本!Z41</f>
        <v>870</v>
      </c>
      <c r="T26" s="136">
        <f>经营成本!AA41</f>
        <v>870</v>
      </c>
      <c r="U26" s="136">
        <f>经营成本!AB41</f>
        <v>870</v>
      </c>
      <c r="V26" s="136">
        <f>经营成本!AC41</f>
        <v>870</v>
      </c>
    </row>
    <row r="27" ht="20.25" customHeight="1" spans="1:22">
      <c r="A27" s="145">
        <v>10</v>
      </c>
      <c r="B27" s="146" t="s">
        <v>401</v>
      </c>
      <c r="C27" s="136">
        <f>经营成本!J42</f>
        <v>0</v>
      </c>
      <c r="D27" s="136">
        <f>经营成本!K42</f>
        <v>0</v>
      </c>
      <c r="E27" s="136">
        <f>经营成本!L42</f>
        <v>0</v>
      </c>
      <c r="F27" s="136">
        <f>经营成本!M42</f>
        <v>0</v>
      </c>
      <c r="G27" s="136">
        <f>经营成本!N42</f>
        <v>0</v>
      </c>
      <c r="H27" s="136">
        <f>经营成本!O42</f>
        <v>0</v>
      </c>
      <c r="I27" s="136">
        <f>经营成本!P42</f>
        <v>11000</v>
      </c>
      <c r="J27" s="136">
        <f>经营成本!Q42</f>
        <v>0</v>
      </c>
      <c r="K27" s="136">
        <f>经营成本!R42</f>
        <v>0</v>
      </c>
      <c r="L27" s="136">
        <f>经营成本!S42</f>
        <v>0</v>
      </c>
      <c r="M27" s="136">
        <f>经营成本!T42</f>
        <v>11000</v>
      </c>
      <c r="N27" s="136">
        <f>经营成本!U42</f>
        <v>0</v>
      </c>
      <c r="O27" s="136">
        <f>经营成本!V42</f>
        <v>0</v>
      </c>
      <c r="P27" s="136">
        <f>经营成本!W42</f>
        <v>0</v>
      </c>
      <c r="Q27" s="136">
        <f>经营成本!X42</f>
        <v>11000</v>
      </c>
      <c r="R27" s="136">
        <f>经营成本!Y42</f>
        <v>0</v>
      </c>
      <c r="S27" s="136">
        <f>经营成本!Z42</f>
        <v>0</v>
      </c>
      <c r="T27" s="136">
        <f>经营成本!AA42</f>
        <v>0</v>
      </c>
      <c r="U27" s="136">
        <f>经营成本!AB42</f>
        <v>0</v>
      </c>
      <c r="V27" s="136">
        <f>经营成本!AC42</f>
        <v>0</v>
      </c>
    </row>
    <row r="28" ht="21.75" customHeight="1" spans="1:22">
      <c r="A28" s="147">
        <v>11</v>
      </c>
      <c r="B28" s="147" t="s">
        <v>402</v>
      </c>
      <c r="C28" s="136">
        <f t="shared" ref="C28:F28" si="4">C3+C12+C18+C21+C22+C23+C24+C25+C26+C27</f>
        <v>0</v>
      </c>
      <c r="D28" s="136">
        <f t="shared" si="4"/>
        <v>0</v>
      </c>
      <c r="E28" s="136">
        <f t="shared" si="4"/>
        <v>0</v>
      </c>
      <c r="F28" s="136">
        <f t="shared" si="4"/>
        <v>523517.207952406</v>
      </c>
      <c r="G28" s="136">
        <f t="shared" ref="G28:V28" si="5">G3+G12+G18+G21+G22+G23+G24+G25+G26+G27</f>
        <v>589028.126730472</v>
      </c>
      <c r="H28" s="136">
        <f t="shared" si="5"/>
        <v>581827.866561187</v>
      </c>
      <c r="I28" s="136">
        <f t="shared" si="5"/>
        <v>585226.993708989</v>
      </c>
      <c r="J28" s="136">
        <f t="shared" si="5"/>
        <v>567871.332413649</v>
      </c>
      <c r="K28" s="136">
        <f t="shared" si="5"/>
        <v>558970.405217493</v>
      </c>
      <c r="L28" s="136">
        <f t="shared" si="5"/>
        <v>551161.394821713</v>
      </c>
      <c r="M28" s="136">
        <f t="shared" si="5"/>
        <v>553711.459897699</v>
      </c>
      <c r="N28" s="136">
        <f t="shared" si="5"/>
        <v>533931.821564797</v>
      </c>
      <c r="O28" s="136">
        <f t="shared" si="5"/>
        <v>524067.769415722</v>
      </c>
      <c r="P28" s="136">
        <f t="shared" si="5"/>
        <v>513318.668134826</v>
      </c>
      <c r="Q28" s="136">
        <f t="shared" si="5"/>
        <v>524318.668134826</v>
      </c>
      <c r="R28" s="136">
        <f t="shared" si="5"/>
        <v>513318.668134826</v>
      </c>
      <c r="S28" s="136">
        <f t="shared" si="5"/>
        <v>513318.668134826</v>
      </c>
      <c r="T28" s="136">
        <f t="shared" si="5"/>
        <v>513318.668134826</v>
      </c>
      <c r="U28" s="136">
        <f t="shared" si="5"/>
        <v>457325.486643902</v>
      </c>
      <c r="V28" s="136">
        <f t="shared" si="5"/>
        <v>408869.848815217</v>
      </c>
    </row>
    <row r="29" ht="16.5" customHeight="1" spans="1:22">
      <c r="A29" s="2">
        <v>11.1</v>
      </c>
      <c r="B29" s="2" t="s">
        <v>403</v>
      </c>
      <c r="C29" s="136">
        <f>C4</f>
        <v>0</v>
      </c>
      <c r="D29" s="136">
        <f>D4</f>
        <v>0</v>
      </c>
      <c r="E29" s="136">
        <f>E4</f>
        <v>0</v>
      </c>
      <c r="F29" s="136">
        <f>F4+F22+F23+F24+F25+F26+F27</f>
        <v>277115.6328</v>
      </c>
      <c r="G29" s="136">
        <f t="shared" ref="G29:V29" si="6">G4+G22+G23+G24+G25+G26+G27</f>
        <v>346394.541</v>
      </c>
      <c r="H29" s="136">
        <f t="shared" si="6"/>
        <v>346394.541</v>
      </c>
      <c r="I29" s="136">
        <f t="shared" si="6"/>
        <v>357394.541</v>
      </c>
      <c r="J29" s="136">
        <f t="shared" si="6"/>
        <v>346394.541</v>
      </c>
      <c r="K29" s="136">
        <f t="shared" si="6"/>
        <v>346394.541</v>
      </c>
      <c r="L29" s="136">
        <f t="shared" si="6"/>
        <v>346394.541</v>
      </c>
      <c r="M29" s="136">
        <f t="shared" si="6"/>
        <v>357394.541</v>
      </c>
      <c r="N29" s="136">
        <f t="shared" si="6"/>
        <v>346394.541</v>
      </c>
      <c r="O29" s="136">
        <f t="shared" si="6"/>
        <v>346394.541</v>
      </c>
      <c r="P29" s="136">
        <f t="shared" si="6"/>
        <v>346394.541</v>
      </c>
      <c r="Q29" s="136">
        <f t="shared" si="6"/>
        <v>357394.541</v>
      </c>
      <c r="R29" s="136">
        <f t="shared" si="6"/>
        <v>346394.541</v>
      </c>
      <c r="S29" s="136">
        <f t="shared" si="6"/>
        <v>346394.541</v>
      </c>
      <c r="T29" s="136">
        <f t="shared" si="6"/>
        <v>346394.541</v>
      </c>
      <c r="U29" s="136">
        <f t="shared" si="6"/>
        <v>346394.541</v>
      </c>
      <c r="V29" s="136">
        <f t="shared" si="6"/>
        <v>346394.541</v>
      </c>
    </row>
    <row r="30" ht="17.25" customHeight="1" spans="1:22">
      <c r="A30" s="2">
        <v>11.2</v>
      </c>
      <c r="B30" s="2" t="s">
        <v>404</v>
      </c>
      <c r="C30" s="136">
        <f>C28-C29</f>
        <v>0</v>
      </c>
      <c r="D30" s="136">
        <f t="shared" ref="D30:V30" si="7">D28-D29</f>
        <v>0</v>
      </c>
      <c r="E30" s="136">
        <f t="shared" si="7"/>
        <v>0</v>
      </c>
      <c r="F30" s="136">
        <f t="shared" si="7"/>
        <v>246401.575152406</v>
      </c>
      <c r="G30" s="136">
        <f t="shared" si="7"/>
        <v>242633.585730472</v>
      </c>
      <c r="H30" s="136">
        <f t="shared" si="7"/>
        <v>235433.325561187</v>
      </c>
      <c r="I30" s="136">
        <f t="shared" si="7"/>
        <v>227832.452708989</v>
      </c>
      <c r="J30" s="136">
        <f t="shared" si="7"/>
        <v>221476.791413649</v>
      </c>
      <c r="K30" s="136">
        <f t="shared" si="7"/>
        <v>212575.864217493</v>
      </c>
      <c r="L30" s="136">
        <f t="shared" si="7"/>
        <v>204766.853821713</v>
      </c>
      <c r="M30" s="136">
        <f t="shared" si="7"/>
        <v>196316.918897699</v>
      </c>
      <c r="N30" s="136">
        <f t="shared" si="7"/>
        <v>187537.280564797</v>
      </c>
      <c r="O30" s="136">
        <f t="shared" si="7"/>
        <v>177673.228415722</v>
      </c>
      <c r="P30" s="136">
        <f t="shared" si="7"/>
        <v>166924.127134826</v>
      </c>
      <c r="Q30" s="136">
        <f t="shared" si="7"/>
        <v>166924.127134826</v>
      </c>
      <c r="R30" s="136">
        <f t="shared" si="7"/>
        <v>166924.127134826</v>
      </c>
      <c r="S30" s="136">
        <f t="shared" si="7"/>
        <v>166924.127134826</v>
      </c>
      <c r="T30" s="136">
        <f t="shared" si="7"/>
        <v>166924.127134826</v>
      </c>
      <c r="U30" s="136">
        <f t="shared" si="7"/>
        <v>110930.945643902</v>
      </c>
      <c r="V30" s="136">
        <f t="shared" si="7"/>
        <v>62475.3078152166</v>
      </c>
    </row>
    <row r="31" ht="24" customHeight="1" spans="1:22">
      <c r="A31" s="148">
        <v>11.3</v>
      </c>
      <c r="B31" s="148" t="s">
        <v>57</v>
      </c>
      <c r="C31" s="136">
        <f>经营成本!J35</f>
        <v>0</v>
      </c>
      <c r="D31" s="136">
        <f>经营成本!K35</f>
        <v>0</v>
      </c>
      <c r="E31" s="136">
        <f>经营成本!L35</f>
        <v>0</v>
      </c>
      <c r="F31" s="136">
        <f>经营成本!M35</f>
        <v>334880.962216779</v>
      </c>
      <c r="G31" s="136">
        <f>经营成本!N35</f>
        <v>403601.625471779</v>
      </c>
      <c r="H31" s="136">
        <f>经营成本!O35</f>
        <v>403601.625471779</v>
      </c>
      <c r="I31" s="136">
        <f>经营成本!P35</f>
        <v>403601.625471779</v>
      </c>
      <c r="J31" s="136">
        <f>经营成本!Q35</f>
        <v>403601.625471779</v>
      </c>
      <c r="K31" s="136">
        <f>经营成本!R35</f>
        <v>403601.625471779</v>
      </c>
      <c r="L31" s="136">
        <f>经营成本!S35</f>
        <v>403601.625471779</v>
      </c>
      <c r="M31" s="136">
        <f>经营成本!T35</f>
        <v>403601.625471779</v>
      </c>
      <c r="N31" s="136">
        <f>经营成本!U35</f>
        <v>403601.625471779</v>
      </c>
      <c r="O31" s="136">
        <f>经营成本!V35</f>
        <v>403601.625471779</v>
      </c>
      <c r="P31" s="136">
        <f>经营成本!W35</f>
        <v>403601.625471779</v>
      </c>
      <c r="Q31" s="136">
        <f>经营成本!X35</f>
        <v>403601.625471779</v>
      </c>
      <c r="R31" s="136">
        <f>经营成本!Y35</f>
        <v>403601.625471779</v>
      </c>
      <c r="S31" s="136">
        <f>经营成本!Z35</f>
        <v>403601.625471779</v>
      </c>
      <c r="T31" s="136">
        <f>经营成本!AA35</f>
        <v>403601.625471779</v>
      </c>
      <c r="U31" s="136">
        <f>经营成本!AB35</f>
        <v>403601.625471779</v>
      </c>
      <c r="V31" s="136">
        <f>经营成本!AC35</f>
        <v>403601.625471779</v>
      </c>
    </row>
    <row r="32" spans="1:22">
      <c r="A32" s="149" t="s">
        <v>405</v>
      </c>
      <c r="B32" s="149"/>
      <c r="C32" s="149"/>
      <c r="D32" s="149"/>
      <c r="E32" s="149"/>
      <c r="F32" s="10">
        <f>F30/(销售收入!$G$18-总成本!F29)</f>
        <v>0.489285697735221</v>
      </c>
      <c r="G32" s="10">
        <f>G30/(销售收入!$G$18-总成本!G29)</f>
        <v>0.558657352047337</v>
      </c>
      <c r="H32" s="10">
        <f>H30/(销售收入!$G$18-总成本!H29)</f>
        <v>0.54207894527766</v>
      </c>
      <c r="I32" s="10">
        <f>I30/(销售收入!$G$18-总成本!I29)</f>
        <v>0.538209481043182</v>
      </c>
      <c r="J32" s="10">
        <f>J30/(销售收入!$G$18-总成本!J29)</f>
        <v>0.509944398087301</v>
      </c>
      <c r="K32" s="10">
        <f>K30/(销售收入!$G$18-总成本!K29)</f>
        <v>0.489450250901536</v>
      </c>
      <c r="L32" s="10">
        <f>L30/(销售收入!$G$18-总成本!L29)</f>
        <v>0.471470212990944</v>
      </c>
      <c r="M32" s="10">
        <f>M30/(销售收入!$G$18-总成本!M29)</f>
        <v>0.463760214067863</v>
      </c>
      <c r="N32" s="10">
        <f>N30/(销售收入!$G$18-总成本!N29)</f>
        <v>0.431799580651914</v>
      </c>
      <c r="O32" s="10">
        <f>O30/(销售收入!$G$18-总成本!O29)</f>
        <v>0.409087863980584</v>
      </c>
      <c r="P32" s="10">
        <f>P30/(销售收入!$G$18-总成本!P29)</f>
        <v>0.384338345316897</v>
      </c>
      <c r="Q32" s="10">
        <f>Q30/(销售收入!$G$18-总成本!Q29)</f>
        <v>0.394325508814032</v>
      </c>
      <c r="R32" s="10">
        <f>R30/(销售收入!$G$18-总成本!R29)</f>
        <v>0.384338345316897</v>
      </c>
      <c r="S32" s="10">
        <f>S30/(销售收入!$G$18-总成本!S29)</f>
        <v>0.384338345316897</v>
      </c>
      <c r="T32" s="10">
        <f>T30/(销售收入!$G$18-总成本!T29)</f>
        <v>0.384338345316897</v>
      </c>
      <c r="U32" s="10">
        <f>U30/(销售收入!$G$18-总成本!U29)</f>
        <v>0.255415540132069</v>
      </c>
      <c r="V32" s="10">
        <f>V30/(销售收入!$G$18-总成本!V29)</f>
        <v>0.14384772795289</v>
      </c>
    </row>
    <row r="33" spans="2:3">
      <c r="B33" s="114" t="s">
        <v>406</v>
      </c>
      <c r="C33" s="150">
        <f>SUM(C28:V28)</f>
        <v>9013103.05441738</v>
      </c>
    </row>
    <row r="34" spans="2:22">
      <c r="B34" s="114">
        <f>C33/17</f>
        <v>530182.532612787</v>
      </c>
      <c r="F34" s="150">
        <f>F28-F18-F14-F13-F7</f>
        <v>338675.362216779</v>
      </c>
      <c r="G34" s="150">
        <f>G28-G18-G14-G13-G7</f>
        <v>408344.625471779</v>
      </c>
      <c r="H34" s="150">
        <f t="shared" ref="H34:V34" si="8">H28-H18-H14-H13-H7</f>
        <v>408344.625471779</v>
      </c>
      <c r="I34" s="150">
        <f t="shared" si="8"/>
        <v>419344.625471779</v>
      </c>
      <c r="J34" s="150">
        <f t="shared" si="8"/>
        <v>408344.625471779</v>
      </c>
      <c r="K34" s="150">
        <f t="shared" si="8"/>
        <v>408344.625471779</v>
      </c>
      <c r="L34" s="150">
        <f t="shared" si="8"/>
        <v>408344.625471779</v>
      </c>
      <c r="M34" s="150">
        <f t="shared" si="8"/>
        <v>419344.625471779</v>
      </c>
      <c r="N34" s="150">
        <f t="shared" si="8"/>
        <v>408344.625471779</v>
      </c>
      <c r="O34" s="150">
        <f t="shared" si="8"/>
        <v>408344.625471779</v>
      </c>
      <c r="P34" s="150">
        <f t="shared" si="8"/>
        <v>408344.625471779</v>
      </c>
      <c r="Q34" s="150">
        <f t="shared" si="8"/>
        <v>419344.625471779</v>
      </c>
      <c r="R34" s="150">
        <f t="shared" si="8"/>
        <v>408344.625471779</v>
      </c>
      <c r="S34" s="150">
        <f t="shared" si="8"/>
        <v>408344.625471779</v>
      </c>
      <c r="T34" s="150">
        <f t="shared" si="8"/>
        <v>408344.625471779</v>
      </c>
      <c r="U34" s="150">
        <f t="shared" si="8"/>
        <v>408344.625471779</v>
      </c>
      <c r="V34" s="150">
        <f t="shared" si="8"/>
        <v>408344.625471779</v>
      </c>
    </row>
    <row r="35" spans="6:22">
      <c r="F35" s="150">
        <f>F34-F22-F23-F24-F25-F26</f>
        <v>334880.962216779</v>
      </c>
      <c r="G35" s="150">
        <f t="shared" ref="G35:V35" si="9">G34-G22-G23-G24-G25-G26</f>
        <v>403601.625471779</v>
      </c>
      <c r="H35" s="150">
        <f t="shared" si="9"/>
        <v>403601.625471779</v>
      </c>
      <c r="I35" s="150">
        <f t="shared" si="9"/>
        <v>414601.625471779</v>
      </c>
      <c r="J35" s="150">
        <f t="shared" si="9"/>
        <v>403601.625471779</v>
      </c>
      <c r="K35" s="150">
        <f t="shared" si="9"/>
        <v>403601.625471779</v>
      </c>
      <c r="L35" s="150">
        <f t="shared" si="9"/>
        <v>403601.625471779</v>
      </c>
      <c r="M35" s="150">
        <f t="shared" si="9"/>
        <v>414601.625471779</v>
      </c>
      <c r="N35" s="150">
        <f t="shared" si="9"/>
        <v>403601.625471779</v>
      </c>
      <c r="O35" s="150">
        <f t="shared" si="9"/>
        <v>403601.625471779</v>
      </c>
      <c r="P35" s="150">
        <f t="shared" si="9"/>
        <v>403601.625471779</v>
      </c>
      <c r="Q35" s="150">
        <f t="shared" si="9"/>
        <v>414601.625471779</v>
      </c>
      <c r="R35" s="150">
        <f t="shared" si="9"/>
        <v>403601.625471779</v>
      </c>
      <c r="S35" s="150">
        <f t="shared" si="9"/>
        <v>403601.625471779</v>
      </c>
      <c r="T35" s="150">
        <f t="shared" si="9"/>
        <v>403601.625471779</v>
      </c>
      <c r="U35" s="150">
        <f t="shared" si="9"/>
        <v>403601.625471779</v>
      </c>
      <c r="V35" s="150">
        <f t="shared" si="9"/>
        <v>403601.625471779</v>
      </c>
    </row>
  </sheetData>
  <mergeCells count="2">
    <mergeCell ref="A1:F1"/>
    <mergeCell ref="A32:E32"/>
  </mergeCells>
  <hyperlinks>
    <hyperlink ref="A1:F1" location="目录!A1" display="总成本费用表"/>
  </hyperlinks>
  <pageMargins left="0.7" right="0.7" top="0.75" bottom="0.75" header="0.3" footer="0.3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92D050"/>
  </sheetPr>
  <dimension ref="A1:V39"/>
  <sheetViews>
    <sheetView showZeros="0" topLeftCell="A4" workbookViewId="0">
      <selection activeCell="F9" sqref="F9"/>
    </sheetView>
  </sheetViews>
  <sheetFormatPr defaultColWidth="9" defaultRowHeight="14"/>
  <cols>
    <col min="1" max="1" width="9.12727272727273" customWidth="1"/>
    <col min="2" max="2" width="17.3727272727273" customWidth="1"/>
    <col min="3" max="5" width="5.62727272727273" customWidth="1"/>
    <col min="6" max="22" width="8" customWidth="1"/>
  </cols>
  <sheetData>
    <row r="1" spans="1:7">
      <c r="A1" s="112" t="s">
        <v>407</v>
      </c>
      <c r="B1" s="112"/>
      <c r="C1" s="112"/>
      <c r="D1" s="112"/>
      <c r="E1" s="112"/>
      <c r="F1" s="112"/>
      <c r="G1" s="112"/>
    </row>
    <row r="2" spans="1:7">
      <c r="A2" s="112"/>
      <c r="B2" s="112"/>
      <c r="C2" s="112"/>
      <c r="D2" s="112"/>
      <c r="E2" s="112"/>
      <c r="F2" s="112"/>
      <c r="G2" s="112"/>
    </row>
    <row r="3" ht="21" customHeight="1" spans="1:7">
      <c r="A3" s="112"/>
      <c r="B3" s="112"/>
      <c r="C3" s="112"/>
      <c r="D3" s="112"/>
      <c r="E3" s="112"/>
      <c r="F3" s="112"/>
      <c r="G3" s="112"/>
    </row>
    <row r="4" spans="6:22">
      <c r="F4" s="113">
        <f>F9-F12</f>
        <v>0</v>
      </c>
      <c r="G4" s="113">
        <f t="shared" ref="G4:V4" si="0">G9-G12</f>
        <v>0</v>
      </c>
      <c r="H4" s="113">
        <f t="shared" si="0"/>
        <v>0</v>
      </c>
      <c r="I4" s="113">
        <f t="shared" si="0"/>
        <v>0</v>
      </c>
      <c r="J4" s="113">
        <f t="shared" si="0"/>
        <v>0</v>
      </c>
      <c r="K4" s="113">
        <f t="shared" si="0"/>
        <v>0</v>
      </c>
      <c r="L4" s="113">
        <f t="shared" si="0"/>
        <v>0</v>
      </c>
      <c r="M4" s="113">
        <f t="shared" si="0"/>
        <v>0</v>
      </c>
      <c r="N4" s="113">
        <f t="shared" si="0"/>
        <v>0</v>
      </c>
      <c r="O4" s="113">
        <f t="shared" si="0"/>
        <v>0</v>
      </c>
      <c r="P4" s="113">
        <f t="shared" si="0"/>
        <v>0</v>
      </c>
      <c r="Q4" s="113">
        <f t="shared" si="0"/>
        <v>0</v>
      </c>
      <c r="R4" s="113">
        <f t="shared" si="0"/>
        <v>0</v>
      </c>
      <c r="S4" s="113">
        <f t="shared" si="0"/>
        <v>0</v>
      </c>
      <c r="T4" s="113">
        <f t="shared" si="0"/>
        <v>0</v>
      </c>
      <c r="U4" s="113">
        <f t="shared" si="0"/>
        <v>0</v>
      </c>
      <c r="V4" s="113">
        <f t="shared" si="0"/>
        <v>0</v>
      </c>
    </row>
    <row r="5" ht="13.5" customHeight="1" spans="3:6">
      <c r="C5" s="114" t="s">
        <v>53</v>
      </c>
      <c r="D5" s="114"/>
      <c r="E5" s="114"/>
      <c r="F5" t="s">
        <v>262</v>
      </c>
    </row>
    <row r="6" spans="1:22">
      <c r="A6" s="115" t="s">
        <v>2</v>
      </c>
      <c r="B6" s="116" t="s">
        <v>3</v>
      </c>
      <c r="C6" s="115" t="s">
        <v>121</v>
      </c>
      <c r="D6" s="115" t="s">
        <v>122</v>
      </c>
      <c r="E6" s="115" t="s">
        <v>123</v>
      </c>
      <c r="F6" s="115" t="s">
        <v>140</v>
      </c>
      <c r="G6" s="115" t="s">
        <v>141</v>
      </c>
      <c r="H6" s="115" t="s">
        <v>142</v>
      </c>
      <c r="I6" s="115" t="s">
        <v>143</v>
      </c>
      <c r="J6" s="115" t="s">
        <v>144</v>
      </c>
      <c r="K6" s="115" t="s">
        <v>145</v>
      </c>
      <c r="L6" s="115" t="s">
        <v>146</v>
      </c>
      <c r="M6" s="115" t="s">
        <v>147</v>
      </c>
      <c r="N6" s="115" t="s">
        <v>148</v>
      </c>
      <c r="O6" s="115" t="s">
        <v>149</v>
      </c>
      <c r="P6" s="115" t="s">
        <v>150</v>
      </c>
      <c r="Q6" s="115" t="s">
        <v>151</v>
      </c>
      <c r="R6" s="115" t="s">
        <v>152</v>
      </c>
      <c r="S6" s="115" t="s">
        <v>153</v>
      </c>
      <c r="T6" s="115" t="s">
        <v>154</v>
      </c>
      <c r="U6" s="115" t="s">
        <v>155</v>
      </c>
      <c r="V6" s="115" t="s">
        <v>156</v>
      </c>
    </row>
    <row r="7" spans="1:22">
      <c r="A7" s="117">
        <v>1</v>
      </c>
      <c r="B7" s="118" t="s">
        <v>408</v>
      </c>
      <c r="C7" s="119">
        <v>0</v>
      </c>
      <c r="D7" s="119">
        <v>0</v>
      </c>
      <c r="E7" s="119">
        <v>0</v>
      </c>
      <c r="F7" s="119">
        <f>销售收入!$G$18*80%</f>
        <v>624568.088</v>
      </c>
      <c r="G7" s="119">
        <f>销售收入!$G$18</f>
        <v>780710.11</v>
      </c>
      <c r="H7" s="119">
        <f>销售收入!$G$18</f>
        <v>780710.11</v>
      </c>
      <c r="I7" s="119">
        <f>销售收入!$G$18</f>
        <v>780710.11</v>
      </c>
      <c r="J7" s="119">
        <f>销售收入!$G$18</f>
        <v>780710.11</v>
      </c>
      <c r="K7" s="119">
        <f>销售收入!$G$18</f>
        <v>780710.11</v>
      </c>
      <c r="L7" s="119">
        <f>销售收入!$G$18</f>
        <v>780710.11</v>
      </c>
      <c r="M7" s="119">
        <f>销售收入!$G$18</f>
        <v>780710.11</v>
      </c>
      <c r="N7" s="119">
        <f>销售收入!$G$18</f>
        <v>780710.11</v>
      </c>
      <c r="O7" s="119">
        <f>销售收入!$G$18</f>
        <v>780710.11</v>
      </c>
      <c r="P7" s="119">
        <f>销售收入!$G$18</f>
        <v>780710.11</v>
      </c>
      <c r="Q7" s="119">
        <f>销售收入!$G$18</f>
        <v>780710.11</v>
      </c>
      <c r="R7" s="119">
        <f>销售收入!$G$18</f>
        <v>780710.11</v>
      </c>
      <c r="S7" s="119">
        <f>销售收入!$G$18</f>
        <v>780710.11</v>
      </c>
      <c r="T7" s="119">
        <f>销售收入!$G$18</f>
        <v>780710.11</v>
      </c>
      <c r="U7" s="119">
        <f>销售收入!$G$18</f>
        <v>780710.11</v>
      </c>
      <c r="V7" s="119">
        <f>销售收入!$G$18</f>
        <v>780710.11</v>
      </c>
    </row>
    <row r="8" spans="1:22">
      <c r="A8" s="117">
        <v>2</v>
      </c>
      <c r="B8" s="118" t="s">
        <v>240</v>
      </c>
      <c r="C8" s="119">
        <f>销售税金!D5+销售税金!D9</f>
        <v>0</v>
      </c>
      <c r="D8" s="119">
        <f>销售税金!E5+销售税金!E9</f>
        <v>0</v>
      </c>
      <c r="E8" s="119">
        <f>销售税金!F5+销售税金!F9</f>
        <v>0</v>
      </c>
      <c r="F8" s="119">
        <f>销售税金!G16</f>
        <v>24778.656</v>
      </c>
      <c r="G8" s="119">
        <f>销售税金!H16</f>
        <v>30973.32</v>
      </c>
      <c r="H8" s="119">
        <f>销售税金!I16</f>
        <v>36728.3818437468</v>
      </c>
      <c r="I8" s="119">
        <f>销售税金!J16</f>
        <v>82237.926702437</v>
      </c>
      <c r="J8" s="119">
        <f>销售税金!K16</f>
        <v>82237.926702437</v>
      </c>
      <c r="K8" s="119">
        <f>销售税金!L16</f>
        <v>82237.926702437</v>
      </c>
      <c r="L8" s="119">
        <f>销售税金!M16</f>
        <v>82237.926702437</v>
      </c>
      <c r="M8" s="119">
        <f>销售税金!N16</f>
        <v>82237.926702437</v>
      </c>
      <c r="N8" s="119">
        <f>销售税金!O16</f>
        <v>82237.926702437</v>
      </c>
      <c r="O8" s="119">
        <f>销售税金!P16</f>
        <v>82237.926702437</v>
      </c>
      <c r="P8" s="119">
        <f>销售税金!Q16</f>
        <v>82237.926702437</v>
      </c>
      <c r="Q8" s="119">
        <f>销售税金!R16</f>
        <v>82237.926702437</v>
      </c>
      <c r="R8" s="119">
        <f>销售税金!S16</f>
        <v>82237.926702437</v>
      </c>
      <c r="S8" s="119">
        <f>销售税金!T16</f>
        <v>82237.926702437</v>
      </c>
      <c r="T8" s="119">
        <f>销售税金!U16</f>
        <v>82237.926702437</v>
      </c>
      <c r="U8" s="119">
        <f>销售税金!V16</f>
        <v>82237.926702437</v>
      </c>
      <c r="V8" s="119">
        <f>销售税金!W16</f>
        <v>82237.926702437</v>
      </c>
    </row>
    <row r="9" spans="1:22">
      <c r="A9" s="117">
        <v>3</v>
      </c>
      <c r="B9" s="120" t="s">
        <v>409</v>
      </c>
      <c r="C9" s="119">
        <f>总成本!C28</f>
        <v>0</v>
      </c>
      <c r="D9" s="119">
        <f>总成本!D28</f>
        <v>0</v>
      </c>
      <c r="E9" s="119">
        <f>总成本!E28</f>
        <v>0</v>
      </c>
      <c r="F9" s="121">
        <f>总成本!F28</f>
        <v>523517.207952406</v>
      </c>
      <c r="G9" s="121">
        <f>总成本!G28</f>
        <v>589028.126730472</v>
      </c>
      <c r="H9" s="121">
        <f>总成本!H28</f>
        <v>581827.866561187</v>
      </c>
      <c r="I9" s="121">
        <f>总成本!I28</f>
        <v>585226.993708989</v>
      </c>
      <c r="J9" s="121">
        <f>总成本!J28</f>
        <v>567871.332413649</v>
      </c>
      <c r="K9" s="121">
        <f>总成本!K28</f>
        <v>558970.405217493</v>
      </c>
      <c r="L9" s="121">
        <f>总成本!L28</f>
        <v>551161.394821713</v>
      </c>
      <c r="M9" s="121">
        <f>总成本!M28</f>
        <v>553711.459897699</v>
      </c>
      <c r="N9" s="121">
        <f>总成本!N28</f>
        <v>533931.821564797</v>
      </c>
      <c r="O9" s="121">
        <f>总成本!O28</f>
        <v>524067.769415722</v>
      </c>
      <c r="P9" s="121">
        <f>总成本!P28</f>
        <v>513318.668134826</v>
      </c>
      <c r="Q9" s="121">
        <f>总成本!Q28</f>
        <v>524318.668134826</v>
      </c>
      <c r="R9" s="121">
        <f>总成本!R28</f>
        <v>513318.668134826</v>
      </c>
      <c r="S9" s="121">
        <f>总成本!S28</f>
        <v>513318.668134826</v>
      </c>
      <c r="T9" s="121">
        <f>总成本!T28</f>
        <v>513318.668134826</v>
      </c>
      <c r="U9" s="121">
        <f>总成本!U28</f>
        <v>457325.486643902</v>
      </c>
      <c r="V9" s="121">
        <f>总成本!V28</f>
        <v>408869.848815217</v>
      </c>
    </row>
    <row r="10" spans="1:22">
      <c r="A10" s="122"/>
      <c r="B10" s="123" t="s">
        <v>404</v>
      </c>
      <c r="C10" s="124">
        <f>总成本!C30</f>
        <v>0</v>
      </c>
      <c r="D10" s="124">
        <f>总成本!D30</f>
        <v>0</v>
      </c>
      <c r="E10" s="124">
        <f>总成本!E30</f>
        <v>0</v>
      </c>
      <c r="F10" s="124">
        <f>总成本!F30</f>
        <v>246401.575152406</v>
      </c>
      <c r="G10" s="124">
        <f>总成本!G30</f>
        <v>242633.585730472</v>
      </c>
      <c r="H10" s="124">
        <f>总成本!H30</f>
        <v>235433.325561187</v>
      </c>
      <c r="I10" s="124">
        <f>总成本!I30</f>
        <v>227832.452708989</v>
      </c>
      <c r="J10" s="124">
        <f>总成本!J30</f>
        <v>221476.791413649</v>
      </c>
      <c r="K10" s="124">
        <f>总成本!K30</f>
        <v>212575.864217493</v>
      </c>
      <c r="L10" s="124">
        <f>总成本!L30</f>
        <v>204766.853821713</v>
      </c>
      <c r="M10" s="124">
        <f>总成本!M30</f>
        <v>196316.918897699</v>
      </c>
      <c r="N10" s="124">
        <f>总成本!N30</f>
        <v>187537.280564797</v>
      </c>
      <c r="O10" s="124">
        <f>总成本!O30</f>
        <v>177673.228415722</v>
      </c>
      <c r="P10" s="124">
        <f>总成本!P30</f>
        <v>166924.127134826</v>
      </c>
      <c r="Q10" s="124">
        <f>总成本!Q30</f>
        <v>166924.127134826</v>
      </c>
      <c r="R10" s="124">
        <f>总成本!R30</f>
        <v>166924.127134826</v>
      </c>
      <c r="S10" s="124">
        <f>总成本!S30</f>
        <v>166924.127134826</v>
      </c>
      <c r="T10" s="124">
        <f>总成本!T30</f>
        <v>166924.127134826</v>
      </c>
      <c r="U10" s="124">
        <f>总成本!U30</f>
        <v>110930.945643902</v>
      </c>
      <c r="V10" s="124">
        <f>总成本!V30</f>
        <v>62475.3078152166</v>
      </c>
    </row>
    <row r="11" spans="1:22">
      <c r="A11" s="122"/>
      <c r="B11" s="123" t="s">
        <v>410</v>
      </c>
      <c r="C11" s="124">
        <f>总成本!C29</f>
        <v>0</v>
      </c>
      <c r="D11" s="124">
        <f>总成本!D29</f>
        <v>0</v>
      </c>
      <c r="E11" s="124">
        <f>总成本!E29</f>
        <v>0</v>
      </c>
      <c r="F11" s="124">
        <f>总成本!F29</f>
        <v>277115.6328</v>
      </c>
      <c r="G11" s="124">
        <f>总成本!G29</f>
        <v>346394.541</v>
      </c>
      <c r="H11" s="124">
        <f>总成本!H29</f>
        <v>346394.541</v>
      </c>
      <c r="I11" s="124">
        <f>总成本!I29</f>
        <v>357394.541</v>
      </c>
      <c r="J11" s="124">
        <f>总成本!J29</f>
        <v>346394.541</v>
      </c>
      <c r="K11" s="124">
        <f>总成本!K29</f>
        <v>346394.541</v>
      </c>
      <c r="L11" s="124">
        <f>总成本!L29</f>
        <v>346394.541</v>
      </c>
      <c r="M11" s="124">
        <f>总成本!M29</f>
        <v>357394.541</v>
      </c>
      <c r="N11" s="124">
        <f>总成本!N29</f>
        <v>346394.541</v>
      </c>
      <c r="O11" s="124">
        <f>总成本!O29</f>
        <v>346394.541</v>
      </c>
      <c r="P11" s="124">
        <f>总成本!P29</f>
        <v>346394.541</v>
      </c>
      <c r="Q11" s="124">
        <f>总成本!Q29</f>
        <v>357394.541</v>
      </c>
      <c r="R11" s="124">
        <f>总成本!R29</f>
        <v>346394.541</v>
      </c>
      <c r="S11" s="124">
        <f>总成本!S29</f>
        <v>346394.541</v>
      </c>
      <c r="T11" s="124">
        <f>总成本!T29</f>
        <v>346394.541</v>
      </c>
      <c r="U11" s="124">
        <f>总成本!U29</f>
        <v>346394.541</v>
      </c>
      <c r="V11" s="124">
        <f>总成本!V29</f>
        <v>346394.541</v>
      </c>
    </row>
    <row r="12" spans="1:22">
      <c r="A12" s="122">
        <v>3</v>
      </c>
      <c r="B12" s="125" t="s">
        <v>411</v>
      </c>
      <c r="C12" s="126">
        <f t="shared" ref="C12:E12" si="1">SUM(C13:C16)</f>
        <v>0</v>
      </c>
      <c r="D12" s="126">
        <f t="shared" si="1"/>
        <v>0</v>
      </c>
      <c r="E12" s="126">
        <f t="shared" si="1"/>
        <v>0</v>
      </c>
      <c r="F12" s="126">
        <f>SUM(F13:F17)</f>
        <v>523517.207952406</v>
      </c>
      <c r="G12" s="126">
        <f t="shared" ref="G12:V12" si="2">SUM(G13:G17)</f>
        <v>589028.126730472</v>
      </c>
      <c r="H12" s="126">
        <f t="shared" si="2"/>
        <v>581827.866561187</v>
      </c>
      <c r="I12" s="126">
        <f t="shared" si="2"/>
        <v>585226.993708989</v>
      </c>
      <c r="J12" s="126">
        <f t="shared" si="2"/>
        <v>567871.332413649</v>
      </c>
      <c r="K12" s="126">
        <f t="shared" si="2"/>
        <v>558970.405217493</v>
      </c>
      <c r="L12" s="126">
        <f t="shared" si="2"/>
        <v>551161.394821713</v>
      </c>
      <c r="M12" s="126">
        <f t="shared" si="2"/>
        <v>553711.459897699</v>
      </c>
      <c r="N12" s="126">
        <f t="shared" si="2"/>
        <v>533931.821564797</v>
      </c>
      <c r="O12" s="126">
        <f t="shared" si="2"/>
        <v>524067.769415722</v>
      </c>
      <c r="P12" s="126">
        <f t="shared" si="2"/>
        <v>513318.668134826</v>
      </c>
      <c r="Q12" s="126">
        <f t="shared" si="2"/>
        <v>524318.668134826</v>
      </c>
      <c r="R12" s="126">
        <f t="shared" si="2"/>
        <v>513318.668134826</v>
      </c>
      <c r="S12" s="126">
        <f t="shared" si="2"/>
        <v>513318.668134826</v>
      </c>
      <c r="T12" s="126">
        <f t="shared" si="2"/>
        <v>513318.668134826</v>
      </c>
      <c r="U12" s="126">
        <f t="shared" si="2"/>
        <v>457325.486643902</v>
      </c>
      <c r="V12" s="126">
        <f t="shared" si="2"/>
        <v>408869.848815217</v>
      </c>
    </row>
    <row r="13" spans="1:22">
      <c r="A13" s="122"/>
      <c r="B13" s="123" t="s">
        <v>57</v>
      </c>
      <c r="C13" s="124">
        <f>总成本!C31</f>
        <v>0</v>
      </c>
      <c r="D13" s="124">
        <f>总成本!D31</f>
        <v>0</v>
      </c>
      <c r="E13" s="124">
        <f>总成本!E31</f>
        <v>0</v>
      </c>
      <c r="F13" s="124">
        <f>总成本!F31</f>
        <v>334880.962216779</v>
      </c>
      <c r="G13" s="124">
        <f>总成本!G31</f>
        <v>403601.625471779</v>
      </c>
      <c r="H13" s="124">
        <f>总成本!H31</f>
        <v>403601.625471779</v>
      </c>
      <c r="I13" s="124">
        <f>总成本!I31</f>
        <v>403601.625471779</v>
      </c>
      <c r="J13" s="124">
        <f>总成本!J31</f>
        <v>403601.625471779</v>
      </c>
      <c r="K13" s="124">
        <f>总成本!K31</f>
        <v>403601.625471779</v>
      </c>
      <c r="L13" s="124">
        <f>总成本!L31</f>
        <v>403601.625471779</v>
      </c>
      <c r="M13" s="124">
        <f>总成本!M31</f>
        <v>403601.625471779</v>
      </c>
      <c r="N13" s="124">
        <f>总成本!N31</f>
        <v>403601.625471779</v>
      </c>
      <c r="O13" s="124">
        <f>总成本!O31</f>
        <v>403601.625471779</v>
      </c>
      <c r="P13" s="124">
        <f>总成本!P31</f>
        <v>403601.625471779</v>
      </c>
      <c r="Q13" s="124">
        <f>总成本!Q31</f>
        <v>403601.625471779</v>
      </c>
      <c r="R13" s="124">
        <f>总成本!R31</f>
        <v>403601.625471779</v>
      </c>
      <c r="S13" s="124">
        <f>总成本!S31</f>
        <v>403601.625471779</v>
      </c>
      <c r="T13" s="124">
        <f>总成本!T31</f>
        <v>403601.625471779</v>
      </c>
      <c r="U13" s="124">
        <f>总成本!U31</f>
        <v>403601.625471779</v>
      </c>
      <c r="V13" s="124">
        <f>总成本!V31</f>
        <v>403601.625471779</v>
      </c>
    </row>
    <row r="14" spans="1:22">
      <c r="A14" s="122"/>
      <c r="B14" s="123" t="s">
        <v>376</v>
      </c>
      <c r="C14" s="124">
        <f>总成本!C7</f>
        <v>0</v>
      </c>
      <c r="D14" s="124">
        <f>总成本!D7</f>
        <v>0</v>
      </c>
      <c r="E14" s="124">
        <f>总成本!E7</f>
        <v>0</v>
      </c>
      <c r="F14" s="124">
        <f>总成本!F7</f>
        <v>104448.81931961</v>
      </c>
      <c r="G14" s="124">
        <f>总成本!G7</f>
        <v>104448.81931961</v>
      </c>
      <c r="H14" s="124">
        <f>总成本!H7</f>
        <v>104448.81931961</v>
      </c>
      <c r="I14" s="124">
        <f>总成本!I7</f>
        <v>104448.81931961</v>
      </c>
      <c r="J14" s="124">
        <f>总成本!J7</f>
        <v>104448.81931961</v>
      </c>
      <c r="K14" s="124">
        <f>总成本!K7</f>
        <v>104448.81931961</v>
      </c>
      <c r="L14" s="124">
        <f>总成本!L7</f>
        <v>104448.81931961</v>
      </c>
      <c r="M14" s="124">
        <f>总成本!M7</f>
        <v>104448.81931961</v>
      </c>
      <c r="N14" s="124">
        <f>总成本!N7</f>
        <v>104448.81931961</v>
      </c>
      <c r="O14" s="124">
        <f>总成本!O7</f>
        <v>104448.81931961</v>
      </c>
      <c r="P14" s="124">
        <f>总成本!P7</f>
        <v>104448.81931961</v>
      </c>
      <c r="Q14" s="124">
        <f>总成本!Q7</f>
        <v>104448.81931961</v>
      </c>
      <c r="R14" s="124">
        <f>总成本!R7</f>
        <v>104448.81931961</v>
      </c>
      <c r="S14" s="124">
        <f>总成本!S7</f>
        <v>104448.81931961</v>
      </c>
      <c r="T14" s="124">
        <f>总成本!T7</f>
        <v>104448.81931961</v>
      </c>
      <c r="U14" s="124">
        <f>总成本!U7</f>
        <v>48455.6378286854</v>
      </c>
      <c r="V14" s="124">
        <f>总成本!V7</f>
        <v>0</v>
      </c>
    </row>
    <row r="15" spans="1:22">
      <c r="A15" s="122"/>
      <c r="B15" s="123" t="s">
        <v>377</v>
      </c>
      <c r="C15" s="124">
        <f>总成本!C13+总成本!C14</f>
        <v>0</v>
      </c>
      <c r="D15" s="124">
        <f>总成本!D13+总成本!D14</f>
        <v>0</v>
      </c>
      <c r="E15" s="124">
        <f>总成本!E13+总成本!E14</f>
        <v>0</v>
      </c>
      <c r="F15" s="124">
        <f>总成本!F13+总成本!F14</f>
        <v>5125.8</v>
      </c>
      <c r="G15" s="124">
        <f>总成本!G13+总成本!G14</f>
        <v>5125.8</v>
      </c>
      <c r="H15" s="124">
        <f>总成本!H13+总成本!H14</f>
        <v>5125.8</v>
      </c>
      <c r="I15" s="124">
        <f>总成本!I13+总成本!I14</f>
        <v>5125.8</v>
      </c>
      <c r="J15" s="124">
        <f>总成本!J13+总成本!J14</f>
        <v>5125.8</v>
      </c>
      <c r="K15" s="124">
        <f>总成本!K13+总成本!K14</f>
        <v>3466</v>
      </c>
      <c r="L15" s="124">
        <f>总成本!L13+总成本!L14</f>
        <v>3466</v>
      </c>
      <c r="M15" s="124">
        <f>总成本!M13+总成本!M14</f>
        <v>3466</v>
      </c>
      <c r="N15" s="124">
        <f>总成本!N13+总成本!N14</f>
        <v>3466</v>
      </c>
      <c r="O15" s="124">
        <f>总成本!O13+总成本!O14</f>
        <v>3466</v>
      </c>
      <c r="P15" s="124">
        <f>总成本!P13+总成本!P14</f>
        <v>0</v>
      </c>
      <c r="Q15" s="124">
        <f>总成本!Q13+总成本!Q14</f>
        <v>0</v>
      </c>
      <c r="R15" s="124">
        <f>总成本!R13+总成本!R14</f>
        <v>0</v>
      </c>
      <c r="S15" s="124">
        <f>总成本!S13+总成本!S14</f>
        <v>0</v>
      </c>
      <c r="T15" s="124">
        <f>总成本!T13+总成本!T14</f>
        <v>0</v>
      </c>
      <c r="U15" s="124">
        <f>总成本!U13+总成本!U14</f>
        <v>0</v>
      </c>
      <c r="V15" s="124">
        <f>总成本!V13+总成本!V14</f>
        <v>0</v>
      </c>
    </row>
    <row r="16" spans="1:22">
      <c r="A16" s="122"/>
      <c r="B16" s="123" t="s">
        <v>412</v>
      </c>
      <c r="C16" s="124">
        <f>总成本!C18</f>
        <v>0</v>
      </c>
      <c r="D16" s="124">
        <f>总成本!D18</f>
        <v>0</v>
      </c>
      <c r="E16" s="124">
        <f>总成本!E18</f>
        <v>0</v>
      </c>
      <c r="F16" s="124">
        <f>总成本!F18</f>
        <v>75267.2264160172</v>
      </c>
      <c r="G16" s="124">
        <f>总成本!G18</f>
        <v>71108.8819390835</v>
      </c>
      <c r="H16" s="124">
        <f>总成本!H18</f>
        <v>63908.6217697981</v>
      </c>
      <c r="I16" s="124">
        <f>总成本!I18</f>
        <v>56307.7489176005</v>
      </c>
      <c r="J16" s="124">
        <f>总成本!J18</f>
        <v>49952.08762226</v>
      </c>
      <c r="K16" s="124">
        <f>总成本!K18</f>
        <v>42710.9604261044</v>
      </c>
      <c r="L16" s="124">
        <f>总成本!L18</f>
        <v>34901.9500303243</v>
      </c>
      <c r="M16" s="124">
        <f>总成本!M18</f>
        <v>26452.0151063106</v>
      </c>
      <c r="N16" s="124">
        <f>总成本!N18</f>
        <v>17672.3767734084</v>
      </c>
      <c r="O16" s="124">
        <f>总成本!O18</f>
        <v>7808.32462433333</v>
      </c>
      <c r="P16" s="124">
        <f>总成本!P18</f>
        <v>525.223343437784</v>
      </c>
      <c r="Q16" s="124">
        <f>总成本!Q18</f>
        <v>525.223343437784</v>
      </c>
      <c r="R16" s="124">
        <f>总成本!R18</f>
        <v>525.223343437784</v>
      </c>
      <c r="S16" s="124">
        <f>总成本!S18</f>
        <v>525.223343437784</v>
      </c>
      <c r="T16" s="124">
        <f>总成本!T18</f>
        <v>525.223343437784</v>
      </c>
      <c r="U16" s="124">
        <f>总成本!U18</f>
        <v>525.223343437784</v>
      </c>
      <c r="V16" s="124">
        <f>总成本!V18</f>
        <v>525.223343437784</v>
      </c>
    </row>
    <row r="17" spans="1:22">
      <c r="A17" s="122"/>
      <c r="B17" s="123" t="s">
        <v>413</v>
      </c>
      <c r="C17" s="124">
        <f>总成本!C22+总成本!C23+总成本!C24+总成本!C25+总成本!C26+总成本!C27</f>
        <v>0</v>
      </c>
      <c r="D17" s="124">
        <f>总成本!D22+总成本!D23+总成本!D24+总成本!D25+总成本!D26+总成本!D27</f>
        <v>0</v>
      </c>
      <c r="E17" s="124">
        <f>总成本!E22+总成本!E23+总成本!E24+总成本!E25+总成本!E26+总成本!E27</f>
        <v>0</v>
      </c>
      <c r="F17" s="124">
        <f>总成本!F22+总成本!F23+总成本!F24+总成本!F25+总成本!F26+总成本!F27</f>
        <v>3794.4</v>
      </c>
      <c r="G17" s="124">
        <f>总成本!G22+总成本!G23+总成本!G24+总成本!G25+总成本!G26+总成本!G27</f>
        <v>4743</v>
      </c>
      <c r="H17" s="124">
        <f>总成本!H22+总成本!H23+总成本!H24+总成本!H25+总成本!H26+总成本!H27</f>
        <v>4743</v>
      </c>
      <c r="I17" s="124">
        <f>总成本!I22+总成本!I23+总成本!I24+总成本!I25+总成本!I26+总成本!I27</f>
        <v>15743</v>
      </c>
      <c r="J17" s="124">
        <f>总成本!J22+总成本!J23+总成本!J24+总成本!J25+总成本!J26+总成本!J27</f>
        <v>4743</v>
      </c>
      <c r="K17" s="124">
        <f>总成本!K22+总成本!K23+总成本!K24+总成本!K25+总成本!K26+总成本!K27</f>
        <v>4743</v>
      </c>
      <c r="L17" s="124">
        <f>总成本!L22+总成本!L23+总成本!L24+总成本!L25+总成本!L26+总成本!L27</f>
        <v>4743</v>
      </c>
      <c r="M17" s="124">
        <f>总成本!M22+总成本!M23+总成本!M24+总成本!M25+总成本!M26+总成本!M27</f>
        <v>15743</v>
      </c>
      <c r="N17" s="124">
        <f>总成本!N22+总成本!N23+总成本!N24+总成本!N25+总成本!N26+总成本!N27</f>
        <v>4743</v>
      </c>
      <c r="O17" s="124">
        <f>总成本!O22+总成本!O23+总成本!O24+总成本!O25+总成本!O26+总成本!O27</f>
        <v>4743</v>
      </c>
      <c r="P17" s="124">
        <f>总成本!P22+总成本!P23+总成本!P24+总成本!P25+总成本!P26+总成本!P27</f>
        <v>4743</v>
      </c>
      <c r="Q17" s="124">
        <f>总成本!Q22+总成本!Q23+总成本!Q24+总成本!Q25+总成本!Q26+总成本!Q27</f>
        <v>15743</v>
      </c>
      <c r="R17" s="124">
        <f>总成本!R22+总成本!R23+总成本!R24+总成本!R25+总成本!R26+总成本!R27</f>
        <v>4743</v>
      </c>
      <c r="S17" s="124">
        <f>总成本!S22+总成本!S23+总成本!S24+总成本!S25+总成本!S26+总成本!S27</f>
        <v>4743</v>
      </c>
      <c r="T17" s="124">
        <f>总成本!T22+总成本!T23+总成本!T24+总成本!T25+总成本!T26+总成本!T27</f>
        <v>4743</v>
      </c>
      <c r="U17" s="124">
        <f>总成本!U22+总成本!U23+总成本!U24+总成本!U25+总成本!U26+总成本!U27</f>
        <v>4743</v>
      </c>
      <c r="V17" s="124">
        <f>总成本!V22+总成本!V23+总成本!V24+总成本!V25+总成本!V26+总成本!V27</f>
        <v>4743</v>
      </c>
    </row>
    <row r="18" spans="1:22">
      <c r="A18" s="117">
        <v>4</v>
      </c>
      <c r="B18" s="118" t="s">
        <v>414</v>
      </c>
      <c r="C18" s="121">
        <f>C7-C8-C9</f>
        <v>0</v>
      </c>
      <c r="D18" s="121">
        <f t="shared" ref="D18:V18" si="3">D7-D8-D9</f>
        <v>0</v>
      </c>
      <c r="E18" s="121">
        <f t="shared" si="3"/>
        <v>0</v>
      </c>
      <c r="F18" s="121">
        <f t="shared" si="3"/>
        <v>76272.2240475941</v>
      </c>
      <c r="G18" s="121">
        <f t="shared" si="3"/>
        <v>160708.663269528</v>
      </c>
      <c r="H18" s="121">
        <f t="shared" si="3"/>
        <v>162153.861595066</v>
      </c>
      <c r="I18" s="121">
        <f t="shared" si="3"/>
        <v>113245.189588574</v>
      </c>
      <c r="J18" s="121">
        <f t="shared" si="3"/>
        <v>130600.850883914</v>
      </c>
      <c r="K18" s="121">
        <f t="shared" si="3"/>
        <v>139501.77808007</v>
      </c>
      <c r="L18" s="121">
        <f t="shared" si="3"/>
        <v>147310.78847585</v>
      </c>
      <c r="M18" s="121">
        <f t="shared" si="3"/>
        <v>144760.723399864</v>
      </c>
      <c r="N18" s="121">
        <f t="shared" si="3"/>
        <v>164540.361732766</v>
      </c>
      <c r="O18" s="121">
        <f t="shared" si="3"/>
        <v>174404.413881841</v>
      </c>
      <c r="P18" s="121">
        <f t="shared" si="3"/>
        <v>185153.515162736</v>
      </c>
      <c r="Q18" s="121">
        <f t="shared" si="3"/>
        <v>174153.515162736</v>
      </c>
      <c r="R18" s="121">
        <f t="shared" si="3"/>
        <v>185153.515162736</v>
      </c>
      <c r="S18" s="121">
        <f t="shared" si="3"/>
        <v>185153.515162736</v>
      </c>
      <c r="T18" s="121">
        <f t="shared" si="3"/>
        <v>185153.515162736</v>
      </c>
      <c r="U18" s="121">
        <f t="shared" si="3"/>
        <v>241146.696653661</v>
      </c>
      <c r="V18" s="121">
        <f t="shared" si="3"/>
        <v>289602.334482346</v>
      </c>
    </row>
    <row r="19" spans="1:22">
      <c r="A19" s="117">
        <v>5</v>
      </c>
      <c r="B19" s="118" t="s">
        <v>415</v>
      </c>
      <c r="C19" s="127"/>
      <c r="D19" s="127"/>
      <c r="E19" s="127"/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</row>
    <row r="20" spans="1:22">
      <c r="A20" s="117">
        <v>6</v>
      </c>
      <c r="B20" s="118" t="s">
        <v>416</v>
      </c>
      <c r="C20" s="119"/>
      <c r="D20" s="119"/>
      <c r="E20" s="119"/>
      <c r="F20" s="119">
        <f>F18-F19</f>
        <v>76272.2240475941</v>
      </c>
      <c r="G20" s="119">
        <f t="shared" ref="G20:V20" si="4">G18-G19</f>
        <v>160708.663269528</v>
      </c>
      <c r="H20" s="119">
        <f t="shared" si="4"/>
        <v>162153.861595066</v>
      </c>
      <c r="I20" s="119">
        <f t="shared" si="4"/>
        <v>113245.189588574</v>
      </c>
      <c r="J20" s="119">
        <f t="shared" si="4"/>
        <v>130600.850883914</v>
      </c>
      <c r="K20" s="119">
        <f t="shared" si="4"/>
        <v>139501.77808007</v>
      </c>
      <c r="L20" s="119">
        <f t="shared" si="4"/>
        <v>147310.78847585</v>
      </c>
      <c r="M20" s="119">
        <f t="shared" si="4"/>
        <v>144760.723399864</v>
      </c>
      <c r="N20" s="119">
        <f t="shared" si="4"/>
        <v>164540.361732766</v>
      </c>
      <c r="O20" s="119">
        <f t="shared" si="4"/>
        <v>174404.413881841</v>
      </c>
      <c r="P20" s="119">
        <f t="shared" si="4"/>
        <v>185153.515162736</v>
      </c>
      <c r="Q20" s="119">
        <f t="shared" si="4"/>
        <v>174153.515162736</v>
      </c>
      <c r="R20" s="119">
        <f t="shared" si="4"/>
        <v>185153.515162736</v>
      </c>
      <c r="S20" s="119">
        <f t="shared" si="4"/>
        <v>185153.515162736</v>
      </c>
      <c r="T20" s="119">
        <f t="shared" si="4"/>
        <v>185153.515162736</v>
      </c>
      <c r="U20" s="119">
        <f t="shared" si="4"/>
        <v>241146.696653661</v>
      </c>
      <c r="V20" s="119">
        <f t="shared" si="4"/>
        <v>289602.334482346</v>
      </c>
    </row>
    <row r="21" spans="1:22">
      <c r="A21" s="117">
        <v>7</v>
      </c>
      <c r="B21" s="118" t="s">
        <v>252</v>
      </c>
      <c r="C21" s="119"/>
      <c r="D21" s="119"/>
      <c r="E21" s="119"/>
      <c r="F21" s="119">
        <f>F20*25%</f>
        <v>19068.0560118985</v>
      </c>
      <c r="G21" s="119">
        <f t="shared" ref="G21:V21" si="5">G20*25%</f>
        <v>40177.1658173819</v>
      </c>
      <c r="H21" s="119">
        <f t="shared" si="5"/>
        <v>40538.4653987666</v>
      </c>
      <c r="I21" s="119">
        <f t="shared" si="5"/>
        <v>28311.2973971434</v>
      </c>
      <c r="J21" s="119">
        <f t="shared" si="5"/>
        <v>32650.2127209785</v>
      </c>
      <c r="K21" s="119">
        <f t="shared" si="5"/>
        <v>34875.4445200174</v>
      </c>
      <c r="L21" s="119">
        <f t="shared" si="5"/>
        <v>36827.6971189624</v>
      </c>
      <c r="M21" s="119">
        <f t="shared" si="5"/>
        <v>36190.1808499659</v>
      </c>
      <c r="N21" s="119">
        <f t="shared" si="5"/>
        <v>41135.0904331914</v>
      </c>
      <c r="O21" s="119">
        <f t="shared" si="5"/>
        <v>43601.1034704602</v>
      </c>
      <c r="P21" s="119">
        <f t="shared" si="5"/>
        <v>46288.3787906841</v>
      </c>
      <c r="Q21" s="119">
        <f t="shared" si="5"/>
        <v>43538.3787906841</v>
      </c>
      <c r="R21" s="119">
        <f t="shared" si="5"/>
        <v>46288.3787906841</v>
      </c>
      <c r="S21" s="119">
        <f t="shared" si="5"/>
        <v>46288.3787906841</v>
      </c>
      <c r="T21" s="119">
        <f t="shared" si="5"/>
        <v>46288.3787906841</v>
      </c>
      <c r="U21" s="119">
        <f t="shared" si="5"/>
        <v>60286.6741634152</v>
      </c>
      <c r="V21" s="119">
        <f t="shared" si="5"/>
        <v>72400.5836205866</v>
      </c>
    </row>
    <row r="22" spans="1:22">
      <c r="A22" s="117">
        <v>8</v>
      </c>
      <c r="B22" s="118" t="s">
        <v>417</v>
      </c>
      <c r="C22" s="129"/>
      <c r="D22" s="129"/>
      <c r="E22" s="129"/>
      <c r="F22" s="119">
        <f>F20-F21</f>
        <v>57204.1680356956</v>
      </c>
      <c r="G22" s="119">
        <f t="shared" ref="G22:V22" si="6">G20-G21</f>
        <v>120531.497452146</v>
      </c>
      <c r="H22" s="119">
        <f t="shared" si="6"/>
        <v>121615.3961963</v>
      </c>
      <c r="I22" s="119">
        <f t="shared" si="6"/>
        <v>84933.8921914302</v>
      </c>
      <c r="J22" s="119">
        <f t="shared" si="6"/>
        <v>97950.6381629356</v>
      </c>
      <c r="K22" s="119">
        <f t="shared" si="6"/>
        <v>104626.333560052</v>
      </c>
      <c r="L22" s="119">
        <f t="shared" si="6"/>
        <v>110483.091356887</v>
      </c>
      <c r="M22" s="119">
        <f t="shared" si="6"/>
        <v>108570.542549898</v>
      </c>
      <c r="N22" s="119">
        <f t="shared" si="6"/>
        <v>123405.271299574</v>
      </c>
      <c r="O22" s="119">
        <f t="shared" si="6"/>
        <v>130803.310411381</v>
      </c>
      <c r="P22" s="119">
        <f t="shared" si="6"/>
        <v>138865.136372052</v>
      </c>
      <c r="Q22" s="119">
        <f t="shared" si="6"/>
        <v>130615.136372052</v>
      </c>
      <c r="R22" s="119">
        <f t="shared" si="6"/>
        <v>138865.136372052</v>
      </c>
      <c r="S22" s="119">
        <f t="shared" si="6"/>
        <v>138865.136372052</v>
      </c>
      <c r="T22" s="119">
        <f t="shared" si="6"/>
        <v>138865.136372052</v>
      </c>
      <c r="U22" s="119">
        <f t="shared" si="6"/>
        <v>180860.022490246</v>
      </c>
      <c r="V22" s="119">
        <f t="shared" si="6"/>
        <v>217201.75086176</v>
      </c>
    </row>
    <row r="23" spans="1:22">
      <c r="A23" s="3">
        <v>8.1</v>
      </c>
      <c r="B23" s="2" t="s">
        <v>418</v>
      </c>
      <c r="C23" s="129"/>
      <c r="D23" s="129"/>
      <c r="E23" s="129"/>
      <c r="F23" s="129">
        <f>F22*10%</f>
        <v>5720.41680356956</v>
      </c>
      <c r="G23" s="129">
        <f t="shared" ref="G23:V23" si="7">G22*10%</f>
        <v>12053.1497452146</v>
      </c>
      <c r="H23" s="129">
        <f t="shared" si="7"/>
        <v>12161.53961963</v>
      </c>
      <c r="I23" s="129">
        <f t="shared" si="7"/>
        <v>8493.38921914302</v>
      </c>
      <c r="J23" s="129">
        <f t="shared" si="7"/>
        <v>9795.06381629356</v>
      </c>
      <c r="K23" s="129">
        <f t="shared" si="7"/>
        <v>10462.6333560052</v>
      </c>
      <c r="L23" s="129">
        <f t="shared" si="7"/>
        <v>11048.3091356887</v>
      </c>
      <c r="M23" s="129">
        <f t="shared" si="7"/>
        <v>10857.0542549898</v>
      </c>
      <c r="N23" s="129">
        <f t="shared" si="7"/>
        <v>12340.5271299574</v>
      </c>
      <c r="O23" s="129">
        <f t="shared" si="7"/>
        <v>13080.3310411381</v>
      </c>
      <c r="P23" s="129">
        <f t="shared" si="7"/>
        <v>13886.5136372052</v>
      </c>
      <c r="Q23" s="129">
        <f t="shared" si="7"/>
        <v>13061.5136372052</v>
      </c>
      <c r="R23" s="129">
        <f t="shared" si="7"/>
        <v>13886.5136372052</v>
      </c>
      <c r="S23" s="129">
        <f t="shared" si="7"/>
        <v>13886.5136372052</v>
      </c>
      <c r="T23" s="129">
        <f t="shared" si="7"/>
        <v>13886.5136372052</v>
      </c>
      <c r="U23" s="129">
        <f t="shared" si="7"/>
        <v>18086.0022490246</v>
      </c>
      <c r="V23" s="129">
        <f t="shared" si="7"/>
        <v>21720.175086176</v>
      </c>
    </row>
    <row r="24" spans="1:22">
      <c r="A24" s="3">
        <v>8.2</v>
      </c>
      <c r="B24" s="2" t="s">
        <v>419</v>
      </c>
      <c r="C24" s="129"/>
      <c r="D24" s="129"/>
      <c r="E24" s="129"/>
      <c r="F24" s="129">
        <f>IF(F25&lt;=0,' 损益表'!F22-' 损益表'!F23,0)</f>
        <v>0</v>
      </c>
      <c r="G24" s="129">
        <f>IF(G25&lt;=0,' 损益表'!G22-' 损益表'!G23,0)</f>
        <v>0</v>
      </c>
      <c r="H24" s="129">
        <f>IF(H25&lt;=0,' 损益表'!H22-' 损益表'!H23,0)</f>
        <v>0</v>
      </c>
      <c r="I24" s="129">
        <f>IF(I25&lt;=0,' 损益表'!I22-' 损益表'!I23,0)</f>
        <v>0</v>
      </c>
      <c r="J24" s="129">
        <f>IF(J25&lt;=0,' 损益表'!J22-' 损益表'!J23,0)</f>
        <v>0</v>
      </c>
      <c r="K24" s="129">
        <f>IF(K25&lt;=0,' 损益表'!K22-' 损益表'!K23,0)</f>
        <v>0</v>
      </c>
      <c r="L24" s="129">
        <f>IF(L25&lt;=0,' 损益表'!L22-' 损益表'!L23,0)</f>
        <v>0</v>
      </c>
      <c r="M24" s="129">
        <f>IF(M25&lt;=0,' 损益表'!M22-' 损益表'!M23,0)</f>
        <v>0</v>
      </c>
      <c r="N24" s="129">
        <f>IF(N25&lt;=0,' 损益表'!N22-' 损益表'!N23,0)</f>
        <v>0</v>
      </c>
      <c r="O24" s="129">
        <f>IF(O25&lt;=0,' 损益表'!O22-' 损益表'!O23,0)</f>
        <v>0</v>
      </c>
      <c r="P24" s="129">
        <f>IF(P25&lt;=0,' 损益表'!P22-' 损益表'!P23,0)</f>
        <v>124978.622734847</v>
      </c>
      <c r="Q24" s="129">
        <f>IF(Q25&lt;=0,' 损益表'!Q22-' 损益表'!Q23,0)</f>
        <v>117553.622734847</v>
      </c>
      <c r="R24" s="129">
        <f>IF(R25&lt;=0,' 损益表'!R22-' 损益表'!R23,0)</f>
        <v>124978.622734847</v>
      </c>
      <c r="S24" s="129">
        <f>IF(S25&lt;=0,' 损益表'!S22-' 损益表'!S23,0)</f>
        <v>124978.622734847</v>
      </c>
      <c r="T24" s="129">
        <f>IF(T25&lt;=0,' 损益表'!T22-' 损益表'!T23,0)</f>
        <v>124978.622734847</v>
      </c>
      <c r="U24" s="129">
        <f>IF(U25&lt;=0,' 损益表'!U22-' 损益表'!U23,0)</f>
        <v>162774.020241221</v>
      </c>
      <c r="V24" s="129">
        <f>IF(V25&lt;=0,' 损益表'!V22-' 损益表'!V23,0)</f>
        <v>195481.575775584</v>
      </c>
    </row>
    <row r="25" spans="1:22">
      <c r="A25" s="3">
        <v>8.3</v>
      </c>
      <c r="B25" s="2" t="s">
        <v>375</v>
      </c>
      <c r="C25" s="129"/>
      <c r="D25" s="129"/>
      <c r="E25" s="129"/>
      <c r="F25" s="128">
        <f>F22-F23</f>
        <v>51483.751232126</v>
      </c>
      <c r="G25" s="128">
        <f>G22-G23</f>
        <v>108478.347706931</v>
      </c>
      <c r="H25" s="128">
        <f t="shared" ref="H25:K25" si="8">H22-H23</f>
        <v>109453.85657667</v>
      </c>
      <c r="I25" s="128">
        <f t="shared" si="8"/>
        <v>76440.5029722872</v>
      </c>
      <c r="J25" s="128">
        <f t="shared" si="8"/>
        <v>88155.5743466421</v>
      </c>
      <c r="K25" s="128">
        <f t="shared" si="8"/>
        <v>94163.700204047</v>
      </c>
      <c r="L25" s="128">
        <f t="shared" ref="L25:O25" si="9">L22-L23</f>
        <v>99434.7822211986</v>
      </c>
      <c r="M25" s="128">
        <f t="shared" si="9"/>
        <v>97713.4882949079</v>
      </c>
      <c r="N25" s="128">
        <f t="shared" si="9"/>
        <v>111064.744169617</v>
      </c>
      <c r="O25" s="128">
        <f t="shared" si="9"/>
        <v>117722.979370243</v>
      </c>
      <c r="P25" s="128"/>
      <c r="Q25" s="128"/>
      <c r="R25" s="128"/>
      <c r="S25" s="128"/>
      <c r="T25" s="128"/>
      <c r="U25" s="128"/>
      <c r="V25" s="128"/>
    </row>
    <row r="26" spans="1:22">
      <c r="A26" s="3"/>
      <c r="B26" s="2" t="s">
        <v>420</v>
      </c>
      <c r="C26" s="129"/>
      <c r="D26" s="129"/>
      <c r="E26" s="129"/>
      <c r="F26" s="128">
        <f>E26+F25</f>
        <v>51483.751232126</v>
      </c>
      <c r="G26" s="128">
        <f>G25+F26</f>
        <v>159962.098939057</v>
      </c>
      <c r="H26" s="128">
        <f t="shared" ref="H26:Q26" si="10">H25+G26</f>
        <v>269415.955515727</v>
      </c>
      <c r="I26" s="128">
        <f t="shared" si="10"/>
        <v>345856.458488014</v>
      </c>
      <c r="J26" s="128">
        <f t="shared" si="10"/>
        <v>434012.032834656</v>
      </c>
      <c r="K26" s="128">
        <f t="shared" si="10"/>
        <v>528175.733038703</v>
      </c>
      <c r="L26" s="128">
        <f t="shared" si="10"/>
        <v>627610.515259902</v>
      </c>
      <c r="M26" s="128">
        <f t="shared" si="10"/>
        <v>725324.00355481</v>
      </c>
      <c r="N26" s="128">
        <f t="shared" si="10"/>
        <v>836388.747724427</v>
      </c>
      <c r="O26" s="128">
        <f t="shared" si="10"/>
        <v>954111.727094669</v>
      </c>
      <c r="P26" s="128">
        <f t="shared" si="10"/>
        <v>954111.727094669</v>
      </c>
      <c r="Q26" s="128">
        <f t="shared" si="10"/>
        <v>954111.727094669</v>
      </c>
      <c r="R26" s="128">
        <f t="shared" ref="R26:V26" si="11">R25+Q26</f>
        <v>954111.727094669</v>
      </c>
      <c r="S26" s="128">
        <f t="shared" si="11"/>
        <v>954111.727094669</v>
      </c>
      <c r="T26" s="128">
        <f t="shared" si="11"/>
        <v>954111.727094669</v>
      </c>
      <c r="U26" s="128">
        <f t="shared" si="11"/>
        <v>954111.727094669</v>
      </c>
      <c r="V26" s="128">
        <f t="shared" si="11"/>
        <v>954111.727094669</v>
      </c>
    </row>
    <row r="27" spans="1:13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>
      <c r="A28" s="130"/>
      <c r="B28" s="131" t="s">
        <v>414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>
      <c r="A29" s="130"/>
      <c r="B29" s="128">
        <f>SUM(C18:V18)</f>
        <v>2859015.46190475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>
      <c r="A30" s="130"/>
      <c r="B30" s="131" t="s">
        <v>31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>
      <c r="A31" s="130"/>
      <c r="B31" s="128">
        <f>B29/17</f>
        <v>168177.380112044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>
      <c r="A32" s="130"/>
      <c r="B32" s="131" t="s">
        <v>421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>
      <c r="A33" s="130"/>
      <c r="B33" s="128">
        <f>SUM(C21:V21)</f>
        <v>714753.865476189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>
      <c r="A34" s="130"/>
      <c r="B34" s="131" t="s">
        <v>35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>
      <c r="A35" s="130"/>
      <c r="B35" s="128">
        <f>B33/17</f>
        <v>42044.3450280111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>
      <c r="A36" s="130"/>
      <c r="B36" s="131" t="s">
        <v>422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2:2">
      <c r="B37" s="128">
        <f>SUM(C22:V22)</f>
        <v>2144261.59642857</v>
      </c>
    </row>
    <row r="38" spans="2:2">
      <c r="B38" s="131" t="s">
        <v>423</v>
      </c>
    </row>
    <row r="39" spans="2:2">
      <c r="B39" s="128">
        <f>B37/17</f>
        <v>126133.035084033</v>
      </c>
    </row>
  </sheetData>
  <mergeCells count="2">
    <mergeCell ref="C5:E5"/>
    <mergeCell ref="A1:G3"/>
  </mergeCells>
  <hyperlinks>
    <hyperlink ref="A1:G3" location="目录!A1" display="损益表"/>
  </hyperlinks>
  <pageMargins left="0.7" right="0.7" top="0.75" bottom="0.75" header="0.3" footer="0.3"/>
  <pageSetup paperSize="9" orientation="portrait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92D050"/>
  </sheetPr>
  <dimension ref="A1:V36"/>
  <sheetViews>
    <sheetView showZeros="0" topLeftCell="A10" workbookViewId="0">
      <selection activeCell="H16" sqref="H16"/>
    </sheetView>
  </sheetViews>
  <sheetFormatPr defaultColWidth="7.87272727272727" defaultRowHeight="14"/>
  <cols>
    <col min="1" max="1" width="9.87272727272727" style="98" customWidth="1"/>
    <col min="2" max="2" width="23.3727272727273" style="98" customWidth="1"/>
    <col min="3" max="22" width="8.25454545454545" style="99" customWidth="1"/>
    <col min="23" max="256" width="9.87272727272727" style="100" customWidth="1"/>
    <col min="257" max="16384" width="7.87272727272727" style="100"/>
  </cols>
  <sheetData>
    <row r="1" spans="1:1">
      <c r="A1" s="95"/>
    </row>
    <row r="2" s="40" customFormat="1" ht="26.25" customHeight="1" spans="1:22">
      <c r="A2" s="22" t="s">
        <v>424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40" customFormat="1" ht="15" spans="1:22">
      <c r="A3" s="20" t="s">
        <v>425</v>
      </c>
      <c r="B3" s="20"/>
      <c r="C3" s="101"/>
      <c r="D3" s="101"/>
      <c r="E3" s="101"/>
      <c r="F3" s="102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="40" customFormat="1" ht="15" spans="1:22">
      <c r="A4" s="103" t="s">
        <v>2</v>
      </c>
      <c r="B4" s="104" t="s">
        <v>426</v>
      </c>
      <c r="C4" s="27" t="s">
        <v>53</v>
      </c>
      <c r="D4" s="27"/>
      <c r="E4" s="27"/>
      <c r="F4" s="105" t="s">
        <v>262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="67" customFormat="1" ht="15" spans="1:22">
      <c r="A5" s="103"/>
      <c r="B5" s="104"/>
      <c r="C5" s="27" t="s">
        <v>121</v>
      </c>
      <c r="D5" s="27" t="s">
        <v>122</v>
      </c>
      <c r="E5" s="27" t="s">
        <v>123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 t="s">
        <v>145</v>
      </c>
      <c r="L5" s="27" t="s">
        <v>146</v>
      </c>
      <c r="M5" s="27" t="s">
        <v>147</v>
      </c>
      <c r="N5" s="27" t="s">
        <v>148</v>
      </c>
      <c r="O5" s="27" t="s">
        <v>149</v>
      </c>
      <c r="P5" s="27" t="s">
        <v>150</v>
      </c>
      <c r="Q5" s="27" t="s">
        <v>151</v>
      </c>
      <c r="R5" s="27" t="s">
        <v>152</v>
      </c>
      <c r="S5" s="27" t="s">
        <v>153</v>
      </c>
      <c r="T5" s="27" t="s">
        <v>154</v>
      </c>
      <c r="U5" s="27" t="s">
        <v>155</v>
      </c>
      <c r="V5" s="27" t="s">
        <v>156</v>
      </c>
    </row>
    <row r="6" s="40" customFormat="1" ht="15" spans="1:22">
      <c r="A6" s="106" t="s">
        <v>294</v>
      </c>
      <c r="B6" s="106" t="s">
        <v>427</v>
      </c>
      <c r="C6" s="107"/>
      <c r="D6" s="107"/>
      <c r="E6" s="107"/>
      <c r="F6" s="107">
        <f>F7-F10</f>
        <v>245840.413771323</v>
      </c>
      <c r="G6" s="107">
        <f t="shared" ref="G6:V6" si="0">G7-G10</f>
        <v>305957.998710839</v>
      </c>
      <c r="H6" s="107">
        <f t="shared" si="0"/>
        <v>299841.637285708</v>
      </c>
      <c r="I6" s="107">
        <f t="shared" si="0"/>
        <v>266559.260428641</v>
      </c>
      <c r="J6" s="107">
        <f t="shared" si="0"/>
        <v>262220.345104806</v>
      </c>
      <c r="K6" s="107">
        <f t="shared" si="0"/>
        <v>259995.113305767</v>
      </c>
      <c r="L6" s="107">
        <f t="shared" si="0"/>
        <v>258042.860706822</v>
      </c>
      <c r="M6" s="107">
        <f t="shared" si="0"/>
        <v>258680.376975818</v>
      </c>
      <c r="N6" s="107">
        <f t="shared" si="0"/>
        <v>253735.467392593</v>
      </c>
      <c r="O6" s="107">
        <f t="shared" si="0"/>
        <v>251269.454355324</v>
      </c>
      <c r="P6" s="107">
        <f t="shared" si="0"/>
        <v>248582.1790351</v>
      </c>
      <c r="Q6" s="107">
        <f t="shared" si="0"/>
        <v>251332.1790351</v>
      </c>
      <c r="R6" s="107">
        <f t="shared" si="0"/>
        <v>248582.1790351</v>
      </c>
      <c r="S6" s="107">
        <f t="shared" si="0"/>
        <v>248582.1790351</v>
      </c>
      <c r="T6" s="107">
        <f t="shared" si="0"/>
        <v>248582.1790351</v>
      </c>
      <c r="U6" s="107">
        <f t="shared" si="0"/>
        <v>234583.883662369</v>
      </c>
      <c r="V6" s="107">
        <f t="shared" si="0"/>
        <v>222469.974205198</v>
      </c>
    </row>
    <row r="7" s="40" customFormat="1" ht="15" spans="1:22">
      <c r="A7" s="103" t="s">
        <v>297</v>
      </c>
      <c r="B7" s="108" t="s">
        <v>428</v>
      </c>
      <c r="C7" s="107"/>
      <c r="D7" s="107"/>
      <c r="E7" s="107"/>
      <c r="F7" s="107">
        <f>F8+F9</f>
        <v>624568.088</v>
      </c>
      <c r="G7" s="107">
        <f t="shared" ref="G7:V7" si="1">G8+G9</f>
        <v>780710.11</v>
      </c>
      <c r="H7" s="107">
        <f t="shared" si="1"/>
        <v>780710.11</v>
      </c>
      <c r="I7" s="107">
        <f t="shared" si="1"/>
        <v>780710.11</v>
      </c>
      <c r="J7" s="107">
        <f t="shared" si="1"/>
        <v>780710.11</v>
      </c>
      <c r="K7" s="107">
        <f t="shared" si="1"/>
        <v>780710.11</v>
      </c>
      <c r="L7" s="107">
        <f t="shared" si="1"/>
        <v>780710.11</v>
      </c>
      <c r="M7" s="107">
        <f t="shared" si="1"/>
        <v>780710.11</v>
      </c>
      <c r="N7" s="107">
        <f t="shared" si="1"/>
        <v>780710.11</v>
      </c>
      <c r="O7" s="107">
        <f t="shared" si="1"/>
        <v>780710.11</v>
      </c>
      <c r="P7" s="107">
        <f t="shared" si="1"/>
        <v>780710.11</v>
      </c>
      <c r="Q7" s="107">
        <f t="shared" si="1"/>
        <v>780710.11</v>
      </c>
      <c r="R7" s="107">
        <f t="shared" si="1"/>
        <v>780710.11</v>
      </c>
      <c r="S7" s="107">
        <f t="shared" si="1"/>
        <v>780710.11</v>
      </c>
      <c r="T7" s="107">
        <f t="shared" si="1"/>
        <v>780710.11</v>
      </c>
      <c r="U7" s="107">
        <f t="shared" si="1"/>
        <v>780710.11</v>
      </c>
      <c r="V7" s="107">
        <f t="shared" si="1"/>
        <v>780710.11</v>
      </c>
    </row>
    <row r="8" s="40" customFormat="1" ht="15" spans="1:22">
      <c r="A8" s="103" t="s">
        <v>429</v>
      </c>
      <c r="B8" s="103" t="s">
        <v>430</v>
      </c>
      <c r="C8" s="107"/>
      <c r="D8" s="107"/>
      <c r="E8" s="107"/>
      <c r="F8" s="107">
        <f>G8*80%</f>
        <v>624568.088</v>
      </c>
      <c r="G8" s="109">
        <f>销售收入!$G$18</f>
        <v>780710.11</v>
      </c>
      <c r="H8" s="107">
        <f>$G$8</f>
        <v>780710.11</v>
      </c>
      <c r="I8" s="107">
        <f t="shared" ref="I8:V8" si="2">$G$8</f>
        <v>780710.11</v>
      </c>
      <c r="J8" s="107">
        <f t="shared" si="2"/>
        <v>780710.11</v>
      </c>
      <c r="K8" s="107">
        <f t="shared" si="2"/>
        <v>780710.11</v>
      </c>
      <c r="L8" s="107">
        <f t="shared" si="2"/>
        <v>780710.11</v>
      </c>
      <c r="M8" s="107">
        <f t="shared" si="2"/>
        <v>780710.11</v>
      </c>
      <c r="N8" s="107">
        <f t="shared" si="2"/>
        <v>780710.11</v>
      </c>
      <c r="O8" s="107">
        <f t="shared" si="2"/>
        <v>780710.11</v>
      </c>
      <c r="P8" s="107">
        <f t="shared" si="2"/>
        <v>780710.11</v>
      </c>
      <c r="Q8" s="107">
        <f t="shared" si="2"/>
        <v>780710.11</v>
      </c>
      <c r="R8" s="107">
        <f t="shared" si="2"/>
        <v>780710.11</v>
      </c>
      <c r="S8" s="107">
        <f t="shared" si="2"/>
        <v>780710.11</v>
      </c>
      <c r="T8" s="107">
        <f t="shared" si="2"/>
        <v>780710.11</v>
      </c>
      <c r="U8" s="107">
        <f t="shared" si="2"/>
        <v>780710.11</v>
      </c>
      <c r="V8" s="107">
        <f t="shared" si="2"/>
        <v>780710.11</v>
      </c>
    </row>
    <row r="9" s="40" customFormat="1" ht="15" spans="1:22">
      <c r="A9" s="103" t="s">
        <v>431</v>
      </c>
      <c r="B9" s="103" t="s">
        <v>432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="40" customFormat="1" ht="15" spans="1:22">
      <c r="A10" s="103" t="s">
        <v>299</v>
      </c>
      <c r="B10" s="108" t="s">
        <v>433</v>
      </c>
      <c r="C10" s="107"/>
      <c r="D10" s="107"/>
      <c r="E10" s="107"/>
      <c r="F10" s="107">
        <f>F11+F12+F13+F14</f>
        <v>378727.674228677</v>
      </c>
      <c r="G10" s="107">
        <f t="shared" ref="G10:V10" si="3">G11+G12+G13+G14</f>
        <v>474752.111289161</v>
      </c>
      <c r="H10" s="107">
        <f t="shared" si="3"/>
        <v>480868.472714292</v>
      </c>
      <c r="I10" s="107">
        <f t="shared" si="3"/>
        <v>514150.849571359</v>
      </c>
      <c r="J10" s="107">
        <f t="shared" si="3"/>
        <v>518489.764895194</v>
      </c>
      <c r="K10" s="107">
        <f t="shared" si="3"/>
        <v>520714.996694233</v>
      </c>
      <c r="L10" s="107">
        <f t="shared" si="3"/>
        <v>522667.249293178</v>
      </c>
      <c r="M10" s="107">
        <f t="shared" si="3"/>
        <v>522029.733024182</v>
      </c>
      <c r="N10" s="107">
        <f t="shared" si="3"/>
        <v>526974.642607407</v>
      </c>
      <c r="O10" s="107">
        <f t="shared" si="3"/>
        <v>529440.655644676</v>
      </c>
      <c r="P10" s="107">
        <f t="shared" si="3"/>
        <v>532127.9309649</v>
      </c>
      <c r="Q10" s="107">
        <f t="shared" si="3"/>
        <v>529377.9309649</v>
      </c>
      <c r="R10" s="107">
        <f t="shared" si="3"/>
        <v>532127.9309649</v>
      </c>
      <c r="S10" s="107">
        <f t="shared" si="3"/>
        <v>532127.9309649</v>
      </c>
      <c r="T10" s="107">
        <f t="shared" si="3"/>
        <v>532127.9309649</v>
      </c>
      <c r="U10" s="107">
        <f t="shared" si="3"/>
        <v>546126.226337631</v>
      </c>
      <c r="V10" s="107">
        <f t="shared" si="3"/>
        <v>558240.135794802</v>
      </c>
    </row>
    <row r="11" s="40" customFormat="1" ht="15" spans="1:22">
      <c r="A11" s="103" t="s">
        <v>266</v>
      </c>
      <c r="B11" s="103" t="s">
        <v>57</v>
      </c>
      <c r="C11" s="107">
        <f>经营成本!J35</f>
        <v>0</v>
      </c>
      <c r="D11" s="107">
        <f>经营成本!K35</f>
        <v>0</v>
      </c>
      <c r="E11" s="107">
        <f>经营成本!L35</f>
        <v>0</v>
      </c>
      <c r="F11" s="107">
        <f>经营成本!M35</f>
        <v>334880.962216779</v>
      </c>
      <c r="G11" s="107">
        <f>经营成本!N35</f>
        <v>403601.625471779</v>
      </c>
      <c r="H11" s="107">
        <f>经营成本!O35</f>
        <v>403601.625471779</v>
      </c>
      <c r="I11" s="107">
        <f>经营成本!P35</f>
        <v>403601.625471779</v>
      </c>
      <c r="J11" s="107">
        <f>经营成本!Q35</f>
        <v>403601.625471779</v>
      </c>
      <c r="K11" s="107">
        <f>经营成本!R35</f>
        <v>403601.625471779</v>
      </c>
      <c r="L11" s="107">
        <f>经营成本!S35</f>
        <v>403601.625471779</v>
      </c>
      <c r="M11" s="107">
        <f>经营成本!T35</f>
        <v>403601.625471779</v>
      </c>
      <c r="N11" s="107">
        <f>经营成本!U35</f>
        <v>403601.625471779</v>
      </c>
      <c r="O11" s="107">
        <f>经营成本!V35</f>
        <v>403601.625471779</v>
      </c>
      <c r="P11" s="107">
        <f>经营成本!W35</f>
        <v>403601.625471779</v>
      </c>
      <c r="Q11" s="107">
        <f>经营成本!X35</f>
        <v>403601.625471779</v>
      </c>
      <c r="R11" s="107">
        <f>经营成本!Y35</f>
        <v>403601.625471779</v>
      </c>
      <c r="S11" s="107">
        <f>经营成本!Z35</f>
        <v>403601.625471779</v>
      </c>
      <c r="T11" s="107">
        <f>经营成本!AA35</f>
        <v>403601.625471779</v>
      </c>
      <c r="U11" s="107">
        <f>经营成本!AB35</f>
        <v>403601.625471779</v>
      </c>
      <c r="V11" s="107">
        <f>经营成本!AC35</f>
        <v>403601.625471779</v>
      </c>
    </row>
    <row r="12" s="40" customFormat="1" ht="15" spans="1:22">
      <c r="A12" s="103" t="s">
        <v>270</v>
      </c>
      <c r="B12" s="103" t="s">
        <v>246</v>
      </c>
      <c r="C12" s="107">
        <f>销售税金!D9</f>
        <v>0</v>
      </c>
      <c r="D12" s="107">
        <f>销售税金!E9</f>
        <v>0</v>
      </c>
      <c r="E12" s="107">
        <f>销售税金!F9</f>
        <v>0</v>
      </c>
      <c r="F12" s="107">
        <f>销售税金!G9</f>
        <v>24778.656</v>
      </c>
      <c r="G12" s="107">
        <f>销售税金!H9</f>
        <v>30973.32</v>
      </c>
      <c r="H12" s="107">
        <f>销售税金!I9</f>
        <v>31399.6208773146</v>
      </c>
      <c r="I12" s="107">
        <f>销售税金!J9</f>
        <v>34770.6982742546</v>
      </c>
      <c r="J12" s="107">
        <f>销售税金!K9</f>
        <v>34770.6982742546</v>
      </c>
      <c r="K12" s="107">
        <f>销售税金!L9</f>
        <v>34770.6982742546</v>
      </c>
      <c r="L12" s="107">
        <f>销售税金!M9</f>
        <v>34770.6982742546</v>
      </c>
      <c r="M12" s="107">
        <f>销售税金!N9</f>
        <v>34770.6982742546</v>
      </c>
      <c r="N12" s="107">
        <f>销售税金!O9</f>
        <v>34770.6982742546</v>
      </c>
      <c r="O12" s="107">
        <f>销售税金!P9</f>
        <v>34770.6982742546</v>
      </c>
      <c r="P12" s="107">
        <f>销售税金!Q9</f>
        <v>34770.6982742546</v>
      </c>
      <c r="Q12" s="107">
        <f>销售税金!R9</f>
        <v>34770.6982742546</v>
      </c>
      <c r="R12" s="107">
        <f>销售税金!S9</f>
        <v>34770.6982742546</v>
      </c>
      <c r="S12" s="107">
        <f>销售税金!T9</f>
        <v>34770.6982742546</v>
      </c>
      <c r="T12" s="107">
        <f>销售税金!U9</f>
        <v>34770.6982742546</v>
      </c>
      <c r="U12" s="107">
        <f>销售税金!V9</f>
        <v>34770.6982742546</v>
      </c>
      <c r="V12" s="107">
        <f>销售税金!W9</f>
        <v>34770.6982742546</v>
      </c>
    </row>
    <row r="13" s="40" customFormat="1" ht="15" spans="1:22">
      <c r="A13" s="103" t="s">
        <v>272</v>
      </c>
      <c r="B13" s="103" t="s">
        <v>33</v>
      </c>
      <c r="C13" s="107">
        <f>销售税金!D5</f>
        <v>0</v>
      </c>
      <c r="D13" s="107">
        <f>销售税金!E5</f>
        <v>0</v>
      </c>
      <c r="E13" s="107">
        <f>销售税金!F5</f>
        <v>0</v>
      </c>
      <c r="F13" s="107">
        <f>销售税金!G5</f>
        <v>0</v>
      </c>
      <c r="G13" s="107">
        <f>销售税金!H5</f>
        <v>0</v>
      </c>
      <c r="H13" s="107">
        <f>销售税金!I5</f>
        <v>5328.76096643222</v>
      </c>
      <c r="I13" s="107">
        <f>销售税金!J5</f>
        <v>47467.2284281825</v>
      </c>
      <c r="J13" s="107">
        <f>销售税金!K5</f>
        <v>47467.2284281825</v>
      </c>
      <c r="K13" s="107">
        <f>销售税金!L5</f>
        <v>47467.2284281825</v>
      </c>
      <c r="L13" s="107">
        <f>销售税金!M5</f>
        <v>47467.2284281825</v>
      </c>
      <c r="M13" s="107">
        <f>销售税金!N5</f>
        <v>47467.2284281825</v>
      </c>
      <c r="N13" s="107">
        <f>销售税金!O5</f>
        <v>47467.2284281825</v>
      </c>
      <c r="O13" s="107">
        <f>销售税金!P5</f>
        <v>47467.2284281825</v>
      </c>
      <c r="P13" s="107">
        <f>销售税金!Q5</f>
        <v>47467.2284281825</v>
      </c>
      <c r="Q13" s="107">
        <f>销售税金!R5</f>
        <v>47467.2284281825</v>
      </c>
      <c r="R13" s="107">
        <f>销售税金!S5</f>
        <v>47467.2284281825</v>
      </c>
      <c r="S13" s="107">
        <f>销售税金!T5</f>
        <v>47467.2284281825</v>
      </c>
      <c r="T13" s="107">
        <f>销售税金!U5</f>
        <v>47467.2284281825</v>
      </c>
      <c r="U13" s="107">
        <f>销售税金!V5</f>
        <v>47467.2284281825</v>
      </c>
      <c r="V13" s="107">
        <f>销售税金!W5</f>
        <v>47467.2284281825</v>
      </c>
    </row>
    <row r="14" s="40" customFormat="1" ht="15" spans="1:22">
      <c r="A14" s="103" t="s">
        <v>274</v>
      </c>
      <c r="B14" s="103" t="s">
        <v>252</v>
      </c>
      <c r="C14" s="107">
        <f>' 损益表'!C21</f>
        <v>0</v>
      </c>
      <c r="D14" s="107">
        <f>' 损益表'!D21</f>
        <v>0</v>
      </c>
      <c r="E14" s="107">
        <f>' 损益表'!E21</f>
        <v>0</v>
      </c>
      <c r="F14" s="107">
        <f>' 损益表'!F21</f>
        <v>19068.0560118985</v>
      </c>
      <c r="G14" s="107">
        <f>' 损益表'!G21</f>
        <v>40177.1658173819</v>
      </c>
      <c r="H14" s="107">
        <f>' 损益表'!H21</f>
        <v>40538.4653987666</v>
      </c>
      <c r="I14" s="107">
        <f>' 损益表'!I21</f>
        <v>28311.2973971434</v>
      </c>
      <c r="J14" s="107">
        <f>' 损益表'!J21</f>
        <v>32650.2127209785</v>
      </c>
      <c r="K14" s="107">
        <f>' 损益表'!K21</f>
        <v>34875.4445200174</v>
      </c>
      <c r="L14" s="107">
        <f>' 损益表'!L21</f>
        <v>36827.6971189624</v>
      </c>
      <c r="M14" s="107">
        <f>' 损益表'!M21</f>
        <v>36190.1808499659</v>
      </c>
      <c r="N14" s="107">
        <f>' 损益表'!N21</f>
        <v>41135.0904331914</v>
      </c>
      <c r="O14" s="107">
        <f>' 损益表'!O21</f>
        <v>43601.1034704602</v>
      </c>
      <c r="P14" s="107">
        <f>' 损益表'!P21</f>
        <v>46288.3787906841</v>
      </c>
      <c r="Q14" s="107">
        <f>' 损益表'!Q21</f>
        <v>43538.3787906841</v>
      </c>
      <c r="R14" s="107">
        <f>' 损益表'!R21</f>
        <v>46288.3787906841</v>
      </c>
      <c r="S14" s="107">
        <f>' 损益表'!S21</f>
        <v>46288.3787906841</v>
      </c>
      <c r="T14" s="107">
        <f>' 损益表'!T21</f>
        <v>46288.3787906841</v>
      </c>
      <c r="U14" s="107">
        <f>' 损益表'!U21</f>
        <v>60286.6741634152</v>
      </c>
      <c r="V14" s="107">
        <f>' 损益表'!V21</f>
        <v>72400.5836205866</v>
      </c>
    </row>
    <row r="15" s="40" customFormat="1" ht="15" spans="1:22">
      <c r="A15" s="106" t="s">
        <v>280</v>
      </c>
      <c r="B15" s="106" t="s">
        <v>434</v>
      </c>
      <c r="C15" s="107">
        <f>C16-C17</f>
        <v>-409404.6</v>
      </c>
      <c r="D15" s="107">
        <f t="shared" ref="D15:V15" si="4">D16-D17</f>
        <v>-818809.2</v>
      </c>
      <c r="E15" s="107">
        <f t="shared" si="4"/>
        <v>-818809.2</v>
      </c>
      <c r="F15" s="107">
        <f t="shared" si="4"/>
        <v>-15757.0363783647</v>
      </c>
      <c r="G15" s="107">
        <f t="shared" si="4"/>
        <v>-1491.67769184166</v>
      </c>
      <c r="H15" s="107">
        <f t="shared" si="4"/>
        <v>0</v>
      </c>
      <c r="I15" s="107">
        <f t="shared" si="4"/>
        <v>0</v>
      </c>
      <c r="J15" s="107">
        <f t="shared" si="4"/>
        <v>0</v>
      </c>
      <c r="K15" s="107">
        <f t="shared" si="4"/>
        <v>0</v>
      </c>
      <c r="L15" s="107">
        <f t="shared" si="4"/>
        <v>0</v>
      </c>
      <c r="M15" s="107">
        <f t="shared" si="4"/>
        <v>0</v>
      </c>
      <c r="N15" s="107">
        <f t="shared" si="4"/>
        <v>0</v>
      </c>
      <c r="O15" s="107">
        <f t="shared" si="4"/>
        <v>0</v>
      </c>
      <c r="P15" s="107">
        <f t="shared" si="4"/>
        <v>0</v>
      </c>
      <c r="Q15" s="107">
        <f t="shared" si="4"/>
        <v>0</v>
      </c>
      <c r="R15" s="107">
        <f t="shared" si="4"/>
        <v>0</v>
      </c>
      <c r="S15" s="107">
        <f t="shared" si="4"/>
        <v>0</v>
      </c>
      <c r="T15" s="107">
        <f t="shared" si="4"/>
        <v>0</v>
      </c>
      <c r="U15" s="107">
        <f t="shared" si="4"/>
        <v>0</v>
      </c>
      <c r="V15" s="107">
        <f t="shared" si="4"/>
        <v>0</v>
      </c>
    </row>
    <row r="16" s="40" customFormat="1" ht="15" spans="1:22">
      <c r="A16" s="103" t="s">
        <v>282</v>
      </c>
      <c r="B16" s="110" t="s">
        <v>428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</row>
    <row r="17" s="40" customFormat="1" ht="15" spans="1:22">
      <c r="A17" s="103" t="s">
        <v>312</v>
      </c>
      <c r="B17" s="110" t="s">
        <v>433</v>
      </c>
      <c r="C17" s="107">
        <f>C18+C19+C20</f>
        <v>409404.6</v>
      </c>
      <c r="D17" s="107">
        <f t="shared" ref="D17:J17" si="5">D18+D19+D20</f>
        <v>818809.2</v>
      </c>
      <c r="E17" s="107">
        <f t="shared" si="5"/>
        <v>818809.2</v>
      </c>
      <c r="F17" s="107">
        <f t="shared" si="5"/>
        <v>15757.0363783647</v>
      </c>
      <c r="G17" s="107">
        <f t="shared" si="5"/>
        <v>1491.67769184166</v>
      </c>
      <c r="H17" s="107">
        <f t="shared" si="5"/>
        <v>0</v>
      </c>
      <c r="I17" s="107">
        <f t="shared" si="5"/>
        <v>0</v>
      </c>
      <c r="J17" s="107">
        <f t="shared" si="5"/>
        <v>0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="40" customFormat="1" ht="15" spans="1:22">
      <c r="A18" s="103" t="s">
        <v>314</v>
      </c>
      <c r="B18" s="103" t="s">
        <v>91</v>
      </c>
      <c r="C18" s="107">
        <f>投资使用计划!D11</f>
        <v>409404.6</v>
      </c>
      <c r="D18" s="107">
        <f>投资使用计划!E11</f>
        <v>818809.2</v>
      </c>
      <c r="E18" s="107">
        <f>投资使用计划!F11</f>
        <v>818809.2</v>
      </c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</row>
    <row r="19" s="40" customFormat="1" ht="15" spans="1:22">
      <c r="A19" s="103" t="s">
        <v>318</v>
      </c>
      <c r="B19" s="103" t="s">
        <v>435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="40" customFormat="1" ht="15" spans="1:22">
      <c r="A20" s="103" t="s">
        <v>320</v>
      </c>
      <c r="B20" s="103" t="s">
        <v>21</v>
      </c>
      <c r="C20" s="107"/>
      <c r="D20" s="107"/>
      <c r="E20" s="107"/>
      <c r="F20" s="107">
        <f>流动资金!H25</f>
        <v>15757.0363783647</v>
      </c>
      <c r="G20" s="107">
        <f>流动资金!I25</f>
        <v>1491.67769184166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="40" customFormat="1" ht="15" spans="1:22">
      <c r="A21" s="106" t="s">
        <v>284</v>
      </c>
      <c r="B21" s="106" t="s">
        <v>436</v>
      </c>
      <c r="C21" s="107">
        <f>C22-C28</f>
        <v>416425.88889</v>
      </c>
      <c r="D21" s="107">
        <f t="shared" ref="D21:V21" si="6">D22-D28</f>
        <v>847238.39871561</v>
      </c>
      <c r="E21" s="107">
        <f t="shared" si="6"/>
        <v>876716.585012675</v>
      </c>
      <c r="F21" s="107">
        <f t="shared" si="6"/>
        <v>-247538.047711931</v>
      </c>
      <c r="G21" s="107">
        <f t="shared" si="6"/>
        <v>-261848.827984171</v>
      </c>
      <c r="H21" s="107">
        <f t="shared" si="6"/>
        <v>-263340.505676013</v>
      </c>
      <c r="I21" s="107">
        <f t="shared" si="6"/>
        <v>-263340.505676013</v>
      </c>
      <c r="J21" s="107">
        <f t="shared" si="6"/>
        <v>-263340.505676013</v>
      </c>
      <c r="K21" s="107">
        <f t="shared" si="6"/>
        <v>-263340.505676013</v>
      </c>
      <c r="L21" s="107">
        <f t="shared" si="6"/>
        <v>-263340.505676012</v>
      </c>
      <c r="M21" s="107">
        <f t="shared" si="6"/>
        <v>-525.223343437784</v>
      </c>
      <c r="N21" s="107">
        <f t="shared" si="6"/>
        <v>-525.223343437784</v>
      </c>
      <c r="O21" s="107">
        <f t="shared" si="6"/>
        <v>-525.223343437784</v>
      </c>
      <c r="P21" s="107">
        <f t="shared" si="6"/>
        <v>-125503.846078285</v>
      </c>
      <c r="Q21" s="107">
        <f t="shared" si="6"/>
        <v>-118078.846078285</v>
      </c>
      <c r="R21" s="107">
        <f t="shared" si="6"/>
        <v>-125503.846078285</v>
      </c>
      <c r="S21" s="107">
        <f t="shared" si="6"/>
        <v>-125503.846078285</v>
      </c>
      <c r="T21" s="107">
        <f t="shared" si="6"/>
        <v>-125503.846078285</v>
      </c>
      <c r="U21" s="107">
        <f t="shared" si="6"/>
        <v>-163299.243584659</v>
      </c>
      <c r="V21" s="107">
        <f t="shared" si="6"/>
        <v>-196006.799119022</v>
      </c>
    </row>
    <row r="22" s="40" customFormat="1" ht="15" spans="1:22">
      <c r="A22" s="103" t="s">
        <v>437</v>
      </c>
      <c r="B22" s="108" t="s">
        <v>428</v>
      </c>
      <c r="C22" s="107">
        <f>C23+C24+C25+C26+C27</f>
        <v>416425.88889</v>
      </c>
      <c r="D22" s="107">
        <f t="shared" ref="D22:G22" si="7">D23+D24+D25+D26+D27</f>
        <v>847238.39871561</v>
      </c>
      <c r="E22" s="107">
        <f t="shared" si="7"/>
        <v>876716.585012675</v>
      </c>
      <c r="F22" s="107">
        <f t="shared" si="7"/>
        <v>15757.0363783647</v>
      </c>
      <c r="G22" s="107">
        <f t="shared" si="7"/>
        <v>1491.67769184166</v>
      </c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="40" customFormat="1" ht="15" spans="1:22">
      <c r="A23" s="103" t="s">
        <v>438</v>
      </c>
      <c r="B23" s="103" t="s">
        <v>439</v>
      </c>
      <c r="C23" s="107">
        <f>' 资金筹措'!E42</f>
        <v>122821.38</v>
      </c>
      <c r="D23" s="107">
        <f>' 资金筹措'!F42</f>
        <v>245642.76</v>
      </c>
      <c r="E23" s="107">
        <f>' 资金筹措'!G42</f>
        <v>245642.76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="40" customFormat="1" ht="15" spans="1:22">
      <c r="A24" s="103" t="s">
        <v>440</v>
      </c>
      <c r="B24" s="103" t="s">
        <v>441</v>
      </c>
      <c r="C24" s="107"/>
      <c r="D24" s="107"/>
      <c r="E24" s="107"/>
      <c r="F24" s="107">
        <f>' 资金筹措'!H42</f>
        <v>4727.11091350941</v>
      </c>
      <c r="G24" s="107">
        <f>' 资金筹措'!I42</f>
        <v>447.503307552499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</row>
    <row r="25" s="40" customFormat="1" ht="15" spans="1:22">
      <c r="A25" s="103" t="s">
        <v>442</v>
      </c>
      <c r="B25" s="103" t="s">
        <v>443</v>
      </c>
      <c r="C25" s="107">
        <f>' 资金筹措'!E45</f>
        <v>293604.50889</v>
      </c>
      <c r="D25" s="107">
        <f>' 资金筹措'!F45</f>
        <v>601595.63871561</v>
      </c>
      <c r="E25" s="107">
        <f>' 资金筹措'!G45</f>
        <v>631073.825012675</v>
      </c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</row>
    <row r="26" s="40" customFormat="1" ht="15" spans="1:22">
      <c r="A26" s="103" t="s">
        <v>444</v>
      </c>
      <c r="B26" s="103" t="s">
        <v>319</v>
      </c>
      <c r="C26" s="107"/>
      <c r="D26" s="107"/>
      <c r="E26" s="107"/>
      <c r="F26" s="107">
        <f>' 资金筹措'!H45</f>
        <v>11029.9254648553</v>
      </c>
      <c r="G26" s="107">
        <f>' 资金筹措'!I45</f>
        <v>1044.17438428916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7" s="40" customFormat="1" ht="15" spans="1:22">
      <c r="A27" s="103" t="s">
        <v>445</v>
      </c>
      <c r="B27" s="103" t="s">
        <v>321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</row>
    <row r="28" s="40" customFormat="1" ht="15" spans="1:22">
      <c r="A28" s="103" t="s">
        <v>446</v>
      </c>
      <c r="B28" s="108" t="s">
        <v>433</v>
      </c>
      <c r="C28" s="107">
        <f>C29+C30+C31</f>
        <v>0</v>
      </c>
      <c r="D28" s="107">
        <f t="shared" ref="D28:V28" si="8">D29+D30+D31</f>
        <v>0</v>
      </c>
      <c r="E28" s="107">
        <f t="shared" si="8"/>
        <v>0</v>
      </c>
      <c r="F28" s="107">
        <f t="shared" si="8"/>
        <v>263295.084090296</v>
      </c>
      <c r="G28" s="107">
        <f t="shared" si="8"/>
        <v>263340.505676013</v>
      </c>
      <c r="H28" s="107">
        <f t="shared" si="8"/>
        <v>263340.505676013</v>
      </c>
      <c r="I28" s="107">
        <f t="shared" si="8"/>
        <v>263340.505676013</v>
      </c>
      <c r="J28" s="107">
        <f t="shared" si="8"/>
        <v>263340.505676013</v>
      </c>
      <c r="K28" s="107">
        <f t="shared" si="8"/>
        <v>263340.505676013</v>
      </c>
      <c r="L28" s="107">
        <f t="shared" si="8"/>
        <v>263340.505676012</v>
      </c>
      <c r="M28" s="107">
        <f t="shared" si="8"/>
        <v>525.223343437784</v>
      </c>
      <c r="N28" s="107">
        <f t="shared" si="8"/>
        <v>525.223343437784</v>
      </c>
      <c r="O28" s="107">
        <f t="shared" si="8"/>
        <v>525.223343437784</v>
      </c>
      <c r="P28" s="107">
        <f t="shared" si="8"/>
        <v>125503.846078285</v>
      </c>
      <c r="Q28" s="107">
        <f t="shared" si="8"/>
        <v>118078.846078285</v>
      </c>
      <c r="R28" s="107">
        <f t="shared" si="8"/>
        <v>125503.846078285</v>
      </c>
      <c r="S28" s="107">
        <f t="shared" si="8"/>
        <v>125503.846078285</v>
      </c>
      <c r="T28" s="107">
        <f t="shared" si="8"/>
        <v>125503.846078285</v>
      </c>
      <c r="U28" s="107">
        <f t="shared" si="8"/>
        <v>163299.243584659</v>
      </c>
      <c r="V28" s="107">
        <f t="shared" si="8"/>
        <v>196006.799119022</v>
      </c>
    </row>
    <row r="29" s="40" customFormat="1" ht="15" spans="1:22">
      <c r="A29" s="103" t="s">
        <v>447</v>
      </c>
      <c r="B29" s="103" t="s">
        <v>448</v>
      </c>
      <c r="C29" s="107">
        <f>还本付息!D13</f>
        <v>0</v>
      </c>
      <c r="D29" s="107">
        <f>还本付息!E13</f>
        <v>0</v>
      </c>
      <c r="E29" s="107">
        <f>还本付息!F13</f>
        <v>0</v>
      </c>
      <c r="F29" s="107">
        <f>还本付息!G13</f>
        <v>75267.2264160172</v>
      </c>
      <c r="G29" s="107">
        <f>还本付息!H13</f>
        <v>66099.2829756941</v>
      </c>
      <c r="H29" s="107">
        <f>还本付息!I13</f>
        <v>56434.4630633785</v>
      </c>
      <c r="I29" s="107">
        <f>还本付息!J13</f>
        <v>46296.0669753594</v>
      </c>
      <c r="J29" s="107">
        <f>还本付息!K13</f>
        <v>35660.8894790274</v>
      </c>
      <c r="K29" s="107">
        <f>还本付息!L13</f>
        <v>24504.5882853751</v>
      </c>
      <c r="L29" s="107">
        <f>还本付息!M13</f>
        <v>12801.6283332339</v>
      </c>
      <c r="M29" s="107">
        <f>还本付息!N13</f>
        <v>525.223343437784</v>
      </c>
      <c r="N29" s="107">
        <f>还本付息!O13</f>
        <v>525.223343437784</v>
      </c>
      <c r="O29" s="107">
        <f>还本付息!P13</f>
        <v>525.223343437784</v>
      </c>
      <c r="P29" s="107">
        <f>还本付息!Q13</f>
        <v>525.223343437784</v>
      </c>
      <c r="Q29" s="107">
        <f>还本付息!R13</f>
        <v>525.223343437784</v>
      </c>
      <c r="R29" s="107">
        <f>还本付息!S13</f>
        <v>525.223343437784</v>
      </c>
      <c r="S29" s="107">
        <f>还本付息!T13</f>
        <v>525.223343437784</v>
      </c>
      <c r="T29" s="107">
        <f>还本付息!U13</f>
        <v>525.223343437784</v>
      </c>
      <c r="U29" s="107">
        <f>还本付息!V13</f>
        <v>525.223343437784</v>
      </c>
      <c r="V29" s="107">
        <f>还本付息!W13</f>
        <v>525.223343437784</v>
      </c>
    </row>
    <row r="30" s="40" customFormat="1" ht="15" spans="1:22">
      <c r="A30" s="103" t="s">
        <v>449</v>
      </c>
      <c r="B30" s="103" t="s">
        <v>450</v>
      </c>
      <c r="C30" s="107">
        <f>还本付息!D8</f>
        <v>0</v>
      </c>
      <c r="D30" s="107">
        <f>还本付息!E8</f>
        <v>0</v>
      </c>
      <c r="E30" s="107">
        <f>还本付息!F8</f>
        <v>0</v>
      </c>
      <c r="F30" s="107">
        <f>还本付息!G8</f>
        <v>188027.857674279</v>
      </c>
      <c r="G30" s="107">
        <f>还本付息!H8</f>
        <v>197241.222700318</v>
      </c>
      <c r="H30" s="107">
        <f>还本付息!I8</f>
        <v>206906.042612634</v>
      </c>
      <c r="I30" s="107">
        <f>还本付息!J8</f>
        <v>217044.438700653</v>
      </c>
      <c r="J30" s="107">
        <f>还本付息!K8</f>
        <v>227679.616196985</v>
      </c>
      <c r="K30" s="107">
        <f>还本付息!L8</f>
        <v>238835.917390637</v>
      </c>
      <c r="L30" s="107">
        <f>还本付息!M8</f>
        <v>250538.877342778</v>
      </c>
      <c r="M30" s="107">
        <f>还本付息!N8</f>
        <v>0</v>
      </c>
      <c r="N30" s="107">
        <f>还本付息!O8</f>
        <v>0</v>
      </c>
      <c r="O30" s="107">
        <f>还本付息!P8</f>
        <v>0</v>
      </c>
      <c r="P30" s="107">
        <f>还本付息!Q8</f>
        <v>0</v>
      </c>
      <c r="Q30" s="107">
        <f>还本付息!R8</f>
        <v>0</v>
      </c>
      <c r="R30" s="107">
        <f>还本付息!S8</f>
        <v>0</v>
      </c>
      <c r="S30" s="107">
        <f>还本付息!T8</f>
        <v>0</v>
      </c>
      <c r="T30" s="107">
        <f>还本付息!U8</f>
        <v>0</v>
      </c>
      <c r="U30" s="107">
        <f>还本付息!V8</f>
        <v>0</v>
      </c>
      <c r="V30" s="107">
        <f>还本付息!W8</f>
        <v>0</v>
      </c>
    </row>
    <row r="31" s="40" customFormat="1" ht="15" spans="1:22">
      <c r="A31" s="103" t="s">
        <v>451</v>
      </c>
      <c r="B31" s="103" t="s">
        <v>419</v>
      </c>
      <c r="C31" s="107">
        <f>' 损益表'!C24</f>
        <v>0</v>
      </c>
      <c r="D31" s="107">
        <f>' 损益表'!D24</f>
        <v>0</v>
      </c>
      <c r="E31" s="107">
        <f>' 损益表'!E24</f>
        <v>0</v>
      </c>
      <c r="F31" s="107">
        <f>' 损益表'!F24</f>
        <v>0</v>
      </c>
      <c r="G31" s="107">
        <f>' 损益表'!G24</f>
        <v>0</v>
      </c>
      <c r="H31" s="107">
        <f>' 损益表'!H24</f>
        <v>0</v>
      </c>
      <c r="I31" s="107">
        <f>' 损益表'!I24</f>
        <v>0</v>
      </c>
      <c r="J31" s="107">
        <f>' 损益表'!J24</f>
        <v>0</v>
      </c>
      <c r="K31" s="107">
        <f>' 损益表'!K24</f>
        <v>0</v>
      </c>
      <c r="L31" s="107">
        <f>' 损益表'!L24</f>
        <v>0</v>
      </c>
      <c r="M31" s="107">
        <f>' 损益表'!M24</f>
        <v>0</v>
      </c>
      <c r="N31" s="107">
        <f>' 损益表'!N24</f>
        <v>0</v>
      </c>
      <c r="O31" s="107">
        <f>' 损益表'!O24</f>
        <v>0</v>
      </c>
      <c r="P31" s="107">
        <f>' 损益表'!P24</f>
        <v>124978.622734847</v>
      </c>
      <c r="Q31" s="107">
        <f>' 损益表'!Q24</f>
        <v>117553.622734847</v>
      </c>
      <c r="R31" s="107">
        <f>' 损益表'!R24</f>
        <v>124978.622734847</v>
      </c>
      <c r="S31" s="107">
        <f>' 损益表'!S24</f>
        <v>124978.622734847</v>
      </c>
      <c r="T31" s="107">
        <f>' 损益表'!T24</f>
        <v>124978.622734847</v>
      </c>
      <c r="U31" s="107">
        <f>' 损益表'!U24</f>
        <v>162774.020241221</v>
      </c>
      <c r="V31" s="107">
        <f>' 损益表'!V24</f>
        <v>195481.575775584</v>
      </c>
    </row>
    <row r="32" s="40" customFormat="1" ht="15" spans="1:22">
      <c r="A32" s="106" t="s">
        <v>285</v>
      </c>
      <c r="B32" s="106" t="s">
        <v>452</v>
      </c>
      <c r="C32" s="107"/>
      <c r="D32" s="107"/>
      <c r="E32" s="107"/>
      <c r="F32" s="107">
        <f t="shared" ref="F32:V32" si="9">F6+F15+F21</f>
        <v>-17454.6703189734</v>
      </c>
      <c r="G32" s="107">
        <f t="shared" si="9"/>
        <v>42617.4930348267</v>
      </c>
      <c r="H32" s="107">
        <f t="shared" si="9"/>
        <v>36501.1316096952</v>
      </c>
      <c r="I32" s="107">
        <f t="shared" si="9"/>
        <v>3218.75475262821</v>
      </c>
      <c r="J32" s="107">
        <f t="shared" si="9"/>
        <v>-1120.16057120688</v>
      </c>
      <c r="K32" s="107">
        <f t="shared" si="9"/>
        <v>-3345.39237024577</v>
      </c>
      <c r="L32" s="107">
        <f t="shared" si="9"/>
        <v>-5297.64496919006</v>
      </c>
      <c r="M32" s="107">
        <f t="shared" si="9"/>
        <v>258155.153632381</v>
      </c>
      <c r="N32" s="107">
        <f t="shared" si="9"/>
        <v>253210.244049155</v>
      </c>
      <c r="O32" s="107">
        <f t="shared" si="9"/>
        <v>250744.231011886</v>
      </c>
      <c r="P32" s="107">
        <f t="shared" si="9"/>
        <v>123078.332956815</v>
      </c>
      <c r="Q32" s="107">
        <f t="shared" si="9"/>
        <v>133253.332956815</v>
      </c>
      <c r="R32" s="107">
        <f t="shared" si="9"/>
        <v>123078.332956815</v>
      </c>
      <c r="S32" s="107">
        <f t="shared" si="9"/>
        <v>123078.332956815</v>
      </c>
      <c r="T32" s="107">
        <f t="shared" si="9"/>
        <v>123078.332956815</v>
      </c>
      <c r="U32" s="107">
        <f t="shared" si="9"/>
        <v>71284.6400777102</v>
      </c>
      <c r="V32" s="107">
        <f t="shared" si="9"/>
        <v>26463.1750861761</v>
      </c>
    </row>
    <row r="33" s="40" customFormat="1" ht="15" spans="1:22">
      <c r="A33" s="106" t="s">
        <v>453</v>
      </c>
      <c r="B33" s="106" t="s">
        <v>454</v>
      </c>
      <c r="C33" s="107"/>
      <c r="D33" s="107">
        <v>0</v>
      </c>
      <c r="E33" s="107">
        <v>0</v>
      </c>
      <c r="F33" s="107">
        <f>E33+F32</f>
        <v>-17454.6703189734</v>
      </c>
      <c r="G33" s="107">
        <f t="shared" ref="G33:V33" si="10">F33+G32</f>
        <v>25162.8227158533</v>
      </c>
      <c r="H33" s="107">
        <f t="shared" si="10"/>
        <v>61663.9543255485</v>
      </c>
      <c r="I33" s="107">
        <f t="shared" si="10"/>
        <v>64882.7090781768</v>
      </c>
      <c r="J33" s="107">
        <f t="shared" si="10"/>
        <v>63762.5485069699</v>
      </c>
      <c r="K33" s="107">
        <f t="shared" si="10"/>
        <v>60417.1561367241</v>
      </c>
      <c r="L33" s="107">
        <f t="shared" si="10"/>
        <v>55119.511167534</v>
      </c>
      <c r="M33" s="107">
        <f t="shared" si="10"/>
        <v>313274.664799915</v>
      </c>
      <c r="N33" s="107">
        <f t="shared" si="10"/>
        <v>566484.90884907</v>
      </c>
      <c r="O33" s="107">
        <f t="shared" si="10"/>
        <v>817229.139860956</v>
      </c>
      <c r="P33" s="107">
        <f t="shared" si="10"/>
        <v>940307.472817771</v>
      </c>
      <c r="Q33" s="107">
        <f t="shared" si="10"/>
        <v>1073560.80577459</v>
      </c>
      <c r="R33" s="107">
        <f t="shared" si="10"/>
        <v>1196639.1387314</v>
      </c>
      <c r="S33" s="107">
        <f t="shared" si="10"/>
        <v>1319717.47168822</v>
      </c>
      <c r="T33" s="107">
        <f t="shared" si="10"/>
        <v>1442795.80464503</v>
      </c>
      <c r="U33" s="107">
        <f t="shared" si="10"/>
        <v>1514080.44472274</v>
      </c>
      <c r="V33" s="107">
        <f t="shared" si="10"/>
        <v>1540543.61980892</v>
      </c>
    </row>
    <row r="36" spans="3:3">
      <c r="C36" s="111"/>
    </row>
  </sheetData>
  <mergeCells count="5">
    <mergeCell ref="A2:V2"/>
    <mergeCell ref="C4:E4"/>
    <mergeCell ref="F4:V4"/>
    <mergeCell ref="A4:A5"/>
    <mergeCell ref="B4:B5"/>
  </mergeCells>
  <hyperlinks>
    <hyperlink ref="A2:V2" location="目录!A1" display=" 财务计划现金流量表 "/>
  </hyperlinks>
  <pageMargins left="0.7" right="0.7" top="0.75" bottom="0.75" header="0.3" footer="0.3"/>
  <pageSetup paperSize="9" orientation="portrait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FFFF00"/>
  </sheetPr>
  <dimension ref="A1:W32"/>
  <sheetViews>
    <sheetView topLeftCell="A7" workbookViewId="0">
      <selection activeCell="E28" sqref="E28"/>
    </sheetView>
  </sheetViews>
  <sheetFormatPr defaultColWidth="8" defaultRowHeight="15"/>
  <cols>
    <col min="1" max="1" width="7.75454545454545" style="40" customWidth="1"/>
    <col min="2" max="2" width="26.2545454545455" style="40" customWidth="1"/>
    <col min="3" max="5" width="10.3727272727273" style="40" customWidth="1"/>
    <col min="6" max="22" width="8.62727272727273" style="41" customWidth="1"/>
    <col min="23" max="256" width="18" style="40" customWidth="1"/>
    <col min="257" max="16384" width="8" style="40"/>
  </cols>
  <sheetData>
    <row r="1" ht="32.25" customHeight="1" spans="1:7">
      <c r="A1" s="42" t="s">
        <v>455</v>
      </c>
      <c r="B1" s="42"/>
      <c r="C1" s="42"/>
      <c r="D1" s="42"/>
      <c r="E1" s="42"/>
      <c r="F1" s="42"/>
      <c r="G1" s="42"/>
    </row>
    <row r="2" spans="1:22">
      <c r="A2" s="43" t="s">
        <v>455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4" spans="1:1">
      <c r="A4" s="40" t="s">
        <v>258</v>
      </c>
    </row>
    <row r="6" spans="1:22">
      <c r="A6" s="44" t="s">
        <v>2</v>
      </c>
      <c r="B6" s="27" t="s">
        <v>456</v>
      </c>
      <c r="C6" s="45" t="s">
        <v>53</v>
      </c>
      <c r="D6" s="46"/>
      <c r="E6" s="47"/>
      <c r="F6" s="48" t="s">
        <v>262</v>
      </c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96"/>
    </row>
    <row r="7" s="21" customFormat="1" spans="1:22">
      <c r="A7" s="27"/>
      <c r="B7" s="27" t="s">
        <v>3</v>
      </c>
      <c r="C7" s="27" t="s">
        <v>121</v>
      </c>
      <c r="D7" s="27" t="s">
        <v>122</v>
      </c>
      <c r="E7" s="27" t="s">
        <v>123</v>
      </c>
      <c r="F7" s="51" t="s">
        <v>140</v>
      </c>
      <c r="G7" s="51" t="s">
        <v>141</v>
      </c>
      <c r="H7" s="51" t="s">
        <v>142</v>
      </c>
      <c r="I7" s="51" t="s">
        <v>143</v>
      </c>
      <c r="J7" s="51" t="s">
        <v>144</v>
      </c>
      <c r="K7" s="51" t="s">
        <v>145</v>
      </c>
      <c r="L7" s="51" t="s">
        <v>146</v>
      </c>
      <c r="M7" s="51" t="s">
        <v>147</v>
      </c>
      <c r="N7" s="51" t="s">
        <v>148</v>
      </c>
      <c r="O7" s="51" t="s">
        <v>149</v>
      </c>
      <c r="P7" s="51" t="s">
        <v>150</v>
      </c>
      <c r="Q7" s="51" t="s">
        <v>151</v>
      </c>
      <c r="R7" s="51" t="s">
        <v>152</v>
      </c>
      <c r="S7" s="51" t="s">
        <v>153</v>
      </c>
      <c r="T7" s="51" t="s">
        <v>154</v>
      </c>
      <c r="U7" s="51" t="s">
        <v>155</v>
      </c>
      <c r="V7" s="51" t="s">
        <v>156</v>
      </c>
    </row>
    <row r="8" spans="1:22">
      <c r="A8" s="52">
        <v>1</v>
      </c>
      <c r="B8" s="53" t="s">
        <v>428</v>
      </c>
      <c r="C8" s="54">
        <f>C9+C10+C11</f>
        <v>0</v>
      </c>
      <c r="D8" s="54">
        <f t="shared" ref="D8:V8" si="0">D9+D10+D11</f>
        <v>0</v>
      </c>
      <c r="E8" s="54">
        <f t="shared" si="0"/>
        <v>0</v>
      </c>
      <c r="F8" s="54">
        <f t="shared" si="0"/>
        <v>624568.088</v>
      </c>
      <c r="G8" s="54">
        <f t="shared" si="0"/>
        <v>780710.11</v>
      </c>
      <c r="H8" s="54">
        <f t="shared" si="0"/>
        <v>780710.11</v>
      </c>
      <c r="I8" s="91">
        <f t="shared" si="0"/>
        <v>780710.11</v>
      </c>
      <c r="J8" s="91">
        <f t="shared" si="0"/>
        <v>780710.11</v>
      </c>
      <c r="K8" s="91">
        <f t="shared" si="0"/>
        <v>780710.11</v>
      </c>
      <c r="L8" s="91">
        <f t="shared" si="0"/>
        <v>780710.11</v>
      </c>
      <c r="M8" s="91">
        <f t="shared" si="0"/>
        <v>780710.11</v>
      </c>
      <c r="N8" s="91">
        <f t="shared" si="0"/>
        <v>780710.11</v>
      </c>
      <c r="O8" s="91">
        <f t="shared" si="0"/>
        <v>780710.11</v>
      </c>
      <c r="P8" s="91">
        <f t="shared" si="0"/>
        <v>780710.11</v>
      </c>
      <c r="Q8" s="91">
        <f t="shared" si="0"/>
        <v>780710.11</v>
      </c>
      <c r="R8" s="91">
        <f t="shared" si="0"/>
        <v>780710.11</v>
      </c>
      <c r="S8" s="91">
        <f t="shared" si="0"/>
        <v>780710.11</v>
      </c>
      <c r="T8" s="91">
        <f t="shared" si="0"/>
        <v>780710.11</v>
      </c>
      <c r="U8" s="91">
        <f t="shared" si="0"/>
        <v>829165.747828685</v>
      </c>
      <c r="V8" s="91">
        <f t="shared" si="0"/>
        <v>797958.824070206</v>
      </c>
    </row>
    <row r="9" spans="1:22">
      <c r="A9" s="55">
        <v>1.1</v>
      </c>
      <c r="B9" s="56" t="s">
        <v>457</v>
      </c>
      <c r="C9" s="54"/>
      <c r="D9" s="54"/>
      <c r="E9" s="54"/>
      <c r="F9" s="54">
        <f>G9*80%</f>
        <v>624568.088</v>
      </c>
      <c r="G9" s="54">
        <f>销售收入!G18</f>
        <v>780710.11</v>
      </c>
      <c r="H9" s="54">
        <f>$G$9</f>
        <v>780710.11</v>
      </c>
      <c r="I9" s="91">
        <f t="shared" ref="I9:V9" si="1">$G$9</f>
        <v>780710.11</v>
      </c>
      <c r="J9" s="91">
        <f t="shared" si="1"/>
        <v>780710.11</v>
      </c>
      <c r="K9" s="91">
        <f t="shared" si="1"/>
        <v>780710.11</v>
      </c>
      <c r="L9" s="91">
        <f t="shared" si="1"/>
        <v>780710.11</v>
      </c>
      <c r="M9" s="91">
        <f t="shared" si="1"/>
        <v>780710.11</v>
      </c>
      <c r="N9" s="91">
        <f t="shared" si="1"/>
        <v>780710.11</v>
      </c>
      <c r="O9" s="91">
        <f t="shared" si="1"/>
        <v>780710.11</v>
      </c>
      <c r="P9" s="91">
        <f t="shared" si="1"/>
        <v>780710.11</v>
      </c>
      <c r="Q9" s="91">
        <f t="shared" si="1"/>
        <v>780710.11</v>
      </c>
      <c r="R9" s="91">
        <f t="shared" si="1"/>
        <v>780710.11</v>
      </c>
      <c r="S9" s="91">
        <f t="shared" si="1"/>
        <v>780710.11</v>
      </c>
      <c r="T9" s="91">
        <f t="shared" si="1"/>
        <v>780710.11</v>
      </c>
      <c r="U9" s="91">
        <f t="shared" si="1"/>
        <v>780710.11</v>
      </c>
      <c r="V9" s="91">
        <f t="shared" si="1"/>
        <v>780710.11</v>
      </c>
    </row>
    <row r="10" spans="1:22">
      <c r="A10" s="55">
        <v>1.2</v>
      </c>
      <c r="B10" s="56" t="s">
        <v>458</v>
      </c>
      <c r="C10" s="54"/>
      <c r="D10" s="54"/>
      <c r="E10" s="54"/>
      <c r="F10" s="57"/>
      <c r="G10" s="57"/>
      <c r="H10" s="57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>
        <f>' 折旧摊销'!W10</f>
        <v>48455.6378286854</v>
      </c>
      <c r="V10" s="97"/>
    </row>
    <row r="11" spans="1:22">
      <c r="A11" s="55">
        <v>1.3</v>
      </c>
      <c r="B11" s="56" t="s">
        <v>459</v>
      </c>
      <c r="C11" s="54"/>
      <c r="D11" s="54"/>
      <c r="E11" s="54"/>
      <c r="F11" s="57"/>
      <c r="G11" s="57"/>
      <c r="H11" s="57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7">
        <f>' 资金筹措'!D39</f>
        <v>17248.7140702064</v>
      </c>
    </row>
    <row r="12" spans="1:22">
      <c r="A12" s="58">
        <v>1.4</v>
      </c>
      <c r="B12" s="59" t="s">
        <v>460</v>
      </c>
      <c r="C12" s="54"/>
      <c r="D12" s="54"/>
      <c r="E12" s="54"/>
      <c r="F12" s="57"/>
      <c r="G12" s="57"/>
      <c r="H12" s="57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7"/>
    </row>
    <row r="13" spans="1:22">
      <c r="A13" s="60">
        <v>2</v>
      </c>
      <c r="B13" s="61" t="s">
        <v>433</v>
      </c>
      <c r="C13" s="54">
        <f>C14+C15+C16+C17+C18+C19</f>
        <v>409404.6</v>
      </c>
      <c r="D13" s="54">
        <f>D14+D15+D16+D17+D18+D19</f>
        <v>818809.2</v>
      </c>
      <c r="E13" s="54">
        <f>E14+E15+E16+E17+E18+E19</f>
        <v>818809.2</v>
      </c>
      <c r="F13" s="54">
        <f>F14+F15+F16+F17+F18+F19</f>
        <v>413301.517211046</v>
      </c>
      <c r="G13" s="54">
        <f t="shared" ref="G13:V13" si="2">G14+G15+G16+G17+G18+G19</f>
        <v>494021.009465773</v>
      </c>
      <c r="H13" s="54">
        <f t="shared" si="2"/>
        <v>496845.628156742</v>
      </c>
      <c r="I13" s="54">
        <f t="shared" si="2"/>
        <v>528227.786800759</v>
      </c>
      <c r="J13" s="54">
        <f t="shared" si="2"/>
        <v>530977.786800759</v>
      </c>
      <c r="K13" s="54">
        <f t="shared" si="2"/>
        <v>531392.736800759</v>
      </c>
      <c r="L13" s="54">
        <f t="shared" si="2"/>
        <v>531392.736800759</v>
      </c>
      <c r="M13" s="54">
        <f t="shared" si="2"/>
        <v>528642.736800759</v>
      </c>
      <c r="N13" s="54">
        <f t="shared" si="2"/>
        <v>531392.736800759</v>
      </c>
      <c r="O13" s="54">
        <f t="shared" si="2"/>
        <v>531392.736800759</v>
      </c>
      <c r="P13" s="54">
        <f t="shared" si="2"/>
        <v>532259.236800759</v>
      </c>
      <c r="Q13" s="54">
        <f t="shared" si="2"/>
        <v>529509.236800759</v>
      </c>
      <c r="R13" s="54">
        <f t="shared" si="2"/>
        <v>532259.236800759</v>
      </c>
      <c r="S13" s="54">
        <f t="shared" si="2"/>
        <v>532259.236800759</v>
      </c>
      <c r="T13" s="54">
        <f t="shared" si="2"/>
        <v>532259.236800759</v>
      </c>
      <c r="U13" s="54">
        <f t="shared" si="2"/>
        <v>546257.53217349</v>
      </c>
      <c r="V13" s="54">
        <f t="shared" si="2"/>
        <v>558371.441630662</v>
      </c>
    </row>
    <row r="14" spans="1:22">
      <c r="A14" s="55">
        <v>2.1</v>
      </c>
      <c r="B14" s="56" t="s">
        <v>461</v>
      </c>
      <c r="C14" s="62">
        <f>投资使用计划!D11</f>
        <v>409404.6</v>
      </c>
      <c r="D14" s="62">
        <f>投资使用计划!E11</f>
        <v>818809.2</v>
      </c>
      <c r="E14" s="62">
        <f>投资使用计划!F11</f>
        <v>818809.2</v>
      </c>
      <c r="F14" s="62"/>
      <c r="G14" s="62"/>
      <c r="H14" s="54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>
      <c r="A15" s="55">
        <v>2.2</v>
      </c>
      <c r="B15" s="56" t="s">
        <v>21</v>
      </c>
      <c r="C15" s="62"/>
      <c r="D15" s="62"/>
      <c r="E15" s="62"/>
      <c r="F15" s="54">
        <f>流动资金!H25</f>
        <v>15757.0363783647</v>
      </c>
      <c r="G15" s="54">
        <f>流动资金!I25</f>
        <v>1491.67769184166</v>
      </c>
      <c r="H15" s="54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</row>
    <row r="16" spans="1:22">
      <c r="A16" s="44">
        <v>2.3</v>
      </c>
      <c r="B16" s="46" t="s">
        <v>57</v>
      </c>
      <c r="C16" s="54">
        <f>经营成本!J35</f>
        <v>0</v>
      </c>
      <c r="D16" s="54">
        <f>经营成本!K35</f>
        <v>0</v>
      </c>
      <c r="E16" s="54">
        <f>经营成本!L35</f>
        <v>0</v>
      </c>
      <c r="F16" s="54">
        <f>经营成本!M35</f>
        <v>334880.962216779</v>
      </c>
      <c r="G16" s="54">
        <f>经营成本!N35</f>
        <v>403601.625471779</v>
      </c>
      <c r="H16" s="54">
        <f>经营成本!O35</f>
        <v>403601.625471779</v>
      </c>
      <c r="I16" s="91">
        <f>经营成本!P35</f>
        <v>403601.625471779</v>
      </c>
      <c r="J16" s="91">
        <f>经营成本!Q35</f>
        <v>403601.625471779</v>
      </c>
      <c r="K16" s="91">
        <f>经营成本!R35</f>
        <v>403601.625471779</v>
      </c>
      <c r="L16" s="91">
        <f>经营成本!S35</f>
        <v>403601.625471779</v>
      </c>
      <c r="M16" s="91">
        <f>经营成本!T35</f>
        <v>403601.625471779</v>
      </c>
      <c r="N16" s="91">
        <f>经营成本!U35</f>
        <v>403601.625471779</v>
      </c>
      <c r="O16" s="91">
        <f>经营成本!V35</f>
        <v>403601.625471779</v>
      </c>
      <c r="P16" s="91">
        <f>经营成本!W35</f>
        <v>403601.625471779</v>
      </c>
      <c r="Q16" s="91">
        <f>经营成本!X35</f>
        <v>403601.625471779</v>
      </c>
      <c r="R16" s="91">
        <f>经营成本!Y35</f>
        <v>403601.625471779</v>
      </c>
      <c r="S16" s="91">
        <f>经营成本!Z35</f>
        <v>403601.625471779</v>
      </c>
      <c r="T16" s="91">
        <f>经营成本!AA35</f>
        <v>403601.625471779</v>
      </c>
      <c r="U16" s="91">
        <f>经营成本!AB35</f>
        <v>403601.625471779</v>
      </c>
      <c r="V16" s="91">
        <f>经营成本!AC35</f>
        <v>403601.625471779</v>
      </c>
    </row>
    <row r="17" spans="1:22">
      <c r="A17" s="44">
        <v>2.4</v>
      </c>
      <c r="B17" s="46" t="s">
        <v>240</v>
      </c>
      <c r="C17" s="54">
        <f>销售税金!D5+销售税金!D9</f>
        <v>0</v>
      </c>
      <c r="D17" s="54">
        <f>销售税金!E5+销售税金!E9</f>
        <v>0</v>
      </c>
      <c r="E17" s="54">
        <f>销售税金!F5+销售税金!F9</f>
        <v>0</v>
      </c>
      <c r="F17" s="54">
        <f>销售税金!G5+销售税金!G9</f>
        <v>24778.656</v>
      </c>
      <c r="G17" s="54">
        <f>销售税金!H5+销售税金!H9</f>
        <v>30973.32</v>
      </c>
      <c r="H17" s="54">
        <f>销售税金!I5+销售税金!I9</f>
        <v>36728.3818437468</v>
      </c>
      <c r="I17" s="91">
        <f>销售税金!J5+销售税金!J9</f>
        <v>82237.926702437</v>
      </c>
      <c r="J17" s="91">
        <f>销售税金!K5+销售税金!K9</f>
        <v>82237.926702437</v>
      </c>
      <c r="K17" s="91">
        <f>销售税金!L5+销售税金!L9</f>
        <v>82237.926702437</v>
      </c>
      <c r="L17" s="91">
        <f>销售税金!M5+销售税金!M9</f>
        <v>82237.926702437</v>
      </c>
      <c r="M17" s="91">
        <f>销售税金!N5+销售税金!N9</f>
        <v>82237.926702437</v>
      </c>
      <c r="N17" s="91">
        <f>销售税金!O5+销售税金!O9</f>
        <v>82237.926702437</v>
      </c>
      <c r="O17" s="91">
        <f>销售税金!P5+销售税金!P9</f>
        <v>82237.926702437</v>
      </c>
      <c r="P17" s="91">
        <f>销售税金!Q5+销售税金!Q9</f>
        <v>82237.926702437</v>
      </c>
      <c r="Q17" s="91">
        <f>销售税金!R5+销售税金!R9</f>
        <v>82237.926702437</v>
      </c>
      <c r="R17" s="91">
        <f>销售税金!S5+销售税金!S9</f>
        <v>82237.926702437</v>
      </c>
      <c r="S17" s="91">
        <f>销售税金!T5+销售税金!T9</f>
        <v>82237.926702437</v>
      </c>
      <c r="T17" s="91">
        <f>销售税金!U5+销售税金!U9</f>
        <v>82237.926702437</v>
      </c>
      <c r="U17" s="91">
        <f>销售税金!V5+销售税金!V9</f>
        <v>82237.926702437</v>
      </c>
      <c r="V17" s="91">
        <f>销售税金!W5+销售税金!W9</f>
        <v>82237.926702437</v>
      </c>
    </row>
    <row r="18" spans="1:22">
      <c r="A18" s="44">
        <v>2.5</v>
      </c>
      <c r="B18" s="46" t="s">
        <v>462</v>
      </c>
      <c r="C18" s="54">
        <f>' 损益表'!C21+C25</f>
        <v>0</v>
      </c>
      <c r="D18" s="54">
        <f>' 损益表'!D21+D25</f>
        <v>0</v>
      </c>
      <c r="E18" s="54">
        <f>' 损益表'!E21+E25</f>
        <v>0</v>
      </c>
      <c r="F18" s="54">
        <f>' 损益表'!F21+F25</f>
        <v>37884.8626159028</v>
      </c>
      <c r="G18" s="54">
        <f>' 损益表'!G21+G25</f>
        <v>57954.3863021528</v>
      </c>
      <c r="H18" s="54">
        <f>' 损益表'!H21+H25</f>
        <v>56515.6208412161</v>
      </c>
      <c r="I18" s="54">
        <f>' 损益表'!I21+I25</f>
        <v>42388.2346265435</v>
      </c>
      <c r="J18" s="54">
        <f>' 损益表'!J21+J25</f>
        <v>45138.2346265435</v>
      </c>
      <c r="K18" s="54">
        <f>' 损益表'!K21+K25</f>
        <v>45553.1846265435</v>
      </c>
      <c r="L18" s="54">
        <f>' 损益表'!L21+L25</f>
        <v>45553.1846265435</v>
      </c>
      <c r="M18" s="54">
        <f>' 损益表'!M21+M25</f>
        <v>42803.1846265435</v>
      </c>
      <c r="N18" s="54">
        <f>' 损益表'!N21+N25</f>
        <v>45553.1846265435</v>
      </c>
      <c r="O18" s="54">
        <f>' 损益表'!O21+O25</f>
        <v>45553.1846265435</v>
      </c>
      <c r="P18" s="54">
        <f>' 损益表'!P21+P25</f>
        <v>46419.6846265435</v>
      </c>
      <c r="Q18" s="54">
        <f>' 损益表'!Q21+Q25</f>
        <v>43669.6846265435</v>
      </c>
      <c r="R18" s="54">
        <f>' 损益表'!R21+R25</f>
        <v>46419.6846265435</v>
      </c>
      <c r="S18" s="54">
        <f>' 损益表'!S21+S25</f>
        <v>46419.6846265435</v>
      </c>
      <c r="T18" s="54">
        <f>' 损益表'!T21+T25</f>
        <v>46419.6846265435</v>
      </c>
      <c r="U18" s="54">
        <f>' 损益表'!U21+U25</f>
        <v>60417.9799992747</v>
      </c>
      <c r="V18" s="54">
        <f>' 损益表'!V21+V25</f>
        <v>72531.889456446</v>
      </c>
    </row>
    <row r="19" spans="1:22">
      <c r="A19" s="44">
        <v>2.6</v>
      </c>
      <c r="B19" s="46" t="s">
        <v>463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</row>
    <row r="20" spans="1:22">
      <c r="A20" s="63">
        <v>3</v>
      </c>
      <c r="B20" s="64" t="s">
        <v>464</v>
      </c>
      <c r="C20" s="54">
        <f>C8-C13-C17</f>
        <v>-409404.6</v>
      </c>
      <c r="D20" s="54">
        <f t="shared" ref="D20:V20" si="3">D8-D13</f>
        <v>-818809.2</v>
      </c>
      <c r="E20" s="54">
        <f t="shared" si="3"/>
        <v>-818809.2</v>
      </c>
      <c r="F20" s="54">
        <f t="shared" si="3"/>
        <v>211266.570788954</v>
      </c>
      <c r="G20" s="54">
        <f t="shared" si="3"/>
        <v>286689.100534227</v>
      </c>
      <c r="H20" s="54">
        <f t="shared" si="3"/>
        <v>283864.481843258</v>
      </c>
      <c r="I20" s="91">
        <f t="shared" si="3"/>
        <v>252482.323199241</v>
      </c>
      <c r="J20" s="91">
        <f t="shared" si="3"/>
        <v>249732.323199241</v>
      </c>
      <c r="K20" s="91">
        <f t="shared" si="3"/>
        <v>249317.373199241</v>
      </c>
      <c r="L20" s="91">
        <f t="shared" si="3"/>
        <v>249317.373199241</v>
      </c>
      <c r="M20" s="91">
        <f t="shared" si="3"/>
        <v>252067.373199241</v>
      </c>
      <c r="N20" s="91">
        <f t="shared" si="3"/>
        <v>249317.373199241</v>
      </c>
      <c r="O20" s="91">
        <f t="shared" si="3"/>
        <v>249317.373199241</v>
      </c>
      <c r="P20" s="91">
        <f t="shared" si="3"/>
        <v>248450.873199241</v>
      </c>
      <c r="Q20" s="91">
        <f t="shared" si="3"/>
        <v>251200.873199241</v>
      </c>
      <c r="R20" s="91">
        <f t="shared" si="3"/>
        <v>248450.873199241</v>
      </c>
      <c r="S20" s="91">
        <f t="shared" si="3"/>
        <v>248450.873199241</v>
      </c>
      <c r="T20" s="91">
        <f t="shared" si="3"/>
        <v>248450.873199241</v>
      </c>
      <c r="U20" s="91">
        <f t="shared" si="3"/>
        <v>282908.215655195</v>
      </c>
      <c r="V20" s="91">
        <f t="shared" si="3"/>
        <v>239587.382439545</v>
      </c>
    </row>
    <row r="21" spans="1:22">
      <c r="A21" s="44">
        <v>4</v>
      </c>
      <c r="B21" s="46" t="s">
        <v>465</v>
      </c>
      <c r="C21" s="54">
        <f>C20</f>
        <v>-409404.6</v>
      </c>
      <c r="D21" s="54">
        <f>D20+C21</f>
        <v>-1228213.8</v>
      </c>
      <c r="E21" s="54">
        <f t="shared" ref="E21:V21" si="4">E20+D21</f>
        <v>-2047023</v>
      </c>
      <c r="F21" s="54">
        <f t="shared" si="4"/>
        <v>-1835756.42921105</v>
      </c>
      <c r="G21" s="54">
        <f t="shared" si="4"/>
        <v>-1549067.32867682</v>
      </c>
      <c r="H21" s="54">
        <f t="shared" si="4"/>
        <v>-1265202.84683356</v>
      </c>
      <c r="I21" s="91">
        <f t="shared" si="4"/>
        <v>-1012720.52363432</v>
      </c>
      <c r="J21" s="91">
        <f t="shared" si="4"/>
        <v>-762988.20043508</v>
      </c>
      <c r="K21" s="91">
        <f t="shared" si="4"/>
        <v>-513670.82723584</v>
      </c>
      <c r="L21" s="91">
        <f t="shared" si="4"/>
        <v>-264353.454036599</v>
      </c>
      <c r="M21" s="91">
        <f t="shared" si="4"/>
        <v>-12286.0808373584</v>
      </c>
      <c r="N21" s="91">
        <f t="shared" si="4"/>
        <v>237031.292361882</v>
      </c>
      <c r="O21" s="91">
        <f t="shared" si="4"/>
        <v>486348.665561123</v>
      </c>
      <c r="P21" s="91">
        <f t="shared" si="4"/>
        <v>734799.538760364</v>
      </c>
      <c r="Q21" s="91">
        <f t="shared" si="4"/>
        <v>986000.411959604</v>
      </c>
      <c r="R21" s="91">
        <f t="shared" si="4"/>
        <v>1234451.28515884</v>
      </c>
      <c r="S21" s="91">
        <f t="shared" si="4"/>
        <v>1482902.15835809</v>
      </c>
      <c r="T21" s="91">
        <f t="shared" si="4"/>
        <v>1731353.03155733</v>
      </c>
      <c r="U21" s="91">
        <f t="shared" si="4"/>
        <v>2014261.24721252</v>
      </c>
      <c r="V21" s="91">
        <f t="shared" si="4"/>
        <v>2253848.62965207</v>
      </c>
    </row>
    <row r="22" spans="1:22">
      <c r="A22" s="65">
        <v>5</v>
      </c>
      <c r="B22" s="66" t="s">
        <v>466</v>
      </c>
      <c r="C22" s="54">
        <f t="shared" ref="C22:V22" si="5">C18+C20</f>
        <v>-409404.6</v>
      </c>
      <c r="D22" s="54">
        <f t="shared" si="5"/>
        <v>-818809.2</v>
      </c>
      <c r="E22" s="54">
        <f t="shared" si="5"/>
        <v>-818809.2</v>
      </c>
      <c r="F22" s="54">
        <f t="shared" si="5"/>
        <v>249151.433404856</v>
      </c>
      <c r="G22" s="54">
        <f t="shared" si="5"/>
        <v>344643.48683638</v>
      </c>
      <c r="H22" s="54">
        <f t="shared" si="5"/>
        <v>340380.102684474</v>
      </c>
      <c r="I22" s="91">
        <f t="shared" si="5"/>
        <v>294870.557825784</v>
      </c>
      <c r="J22" s="91">
        <f t="shared" si="5"/>
        <v>294870.557825784</v>
      </c>
      <c r="K22" s="91">
        <f t="shared" si="5"/>
        <v>294870.557825784</v>
      </c>
      <c r="L22" s="91">
        <f t="shared" si="5"/>
        <v>294870.557825784</v>
      </c>
      <c r="M22" s="91">
        <f t="shared" si="5"/>
        <v>294870.557825784</v>
      </c>
      <c r="N22" s="91">
        <f t="shared" si="5"/>
        <v>294870.557825784</v>
      </c>
      <c r="O22" s="91">
        <f t="shared" si="5"/>
        <v>294870.557825784</v>
      </c>
      <c r="P22" s="91">
        <f t="shared" si="5"/>
        <v>294870.557825784</v>
      </c>
      <c r="Q22" s="91">
        <f t="shared" si="5"/>
        <v>294870.557825784</v>
      </c>
      <c r="R22" s="91">
        <f t="shared" si="5"/>
        <v>294870.557825784</v>
      </c>
      <c r="S22" s="91">
        <f t="shared" si="5"/>
        <v>294870.557825784</v>
      </c>
      <c r="T22" s="91">
        <f t="shared" si="5"/>
        <v>294870.557825784</v>
      </c>
      <c r="U22" s="91">
        <f t="shared" si="5"/>
        <v>343326.19565447</v>
      </c>
      <c r="V22" s="91">
        <f t="shared" si="5"/>
        <v>312119.271895991</v>
      </c>
    </row>
    <row r="23" spans="1:22">
      <c r="A23" s="44">
        <v>6</v>
      </c>
      <c r="B23" s="46" t="s">
        <v>467</v>
      </c>
      <c r="C23" s="54">
        <f>C22</f>
        <v>-409404.6</v>
      </c>
      <c r="D23" s="54">
        <f>D22+C23</f>
        <v>-1228213.8</v>
      </c>
      <c r="E23" s="54">
        <f t="shared" ref="E23:V23" si="6">E22+D23</f>
        <v>-2047023</v>
      </c>
      <c r="F23" s="54">
        <f t="shared" si="6"/>
        <v>-1797871.56659514</v>
      </c>
      <c r="G23" s="54">
        <f t="shared" si="6"/>
        <v>-1453228.07975876</v>
      </c>
      <c r="H23" s="54">
        <f t="shared" si="6"/>
        <v>-1112847.97707429</v>
      </c>
      <c r="I23" s="91">
        <f t="shared" si="6"/>
        <v>-817977.419248506</v>
      </c>
      <c r="J23" s="91">
        <f t="shared" si="6"/>
        <v>-523106.861422722</v>
      </c>
      <c r="K23" s="91">
        <f t="shared" si="6"/>
        <v>-228236.303596937</v>
      </c>
      <c r="L23" s="91">
        <f t="shared" si="6"/>
        <v>66634.2542288468</v>
      </c>
      <c r="M23" s="91">
        <f t="shared" si="6"/>
        <v>361504.812054631</v>
      </c>
      <c r="N23" s="91">
        <f t="shared" si="6"/>
        <v>656375.369880415</v>
      </c>
      <c r="O23" s="91">
        <f t="shared" si="6"/>
        <v>951245.927706199</v>
      </c>
      <c r="P23" s="91">
        <f t="shared" si="6"/>
        <v>1246116.48553198</v>
      </c>
      <c r="Q23" s="91">
        <f t="shared" si="6"/>
        <v>1540987.04335777</v>
      </c>
      <c r="R23" s="91">
        <f t="shared" si="6"/>
        <v>1835857.60118355</v>
      </c>
      <c r="S23" s="91">
        <f t="shared" si="6"/>
        <v>2130728.15900934</v>
      </c>
      <c r="T23" s="91">
        <f t="shared" si="6"/>
        <v>2425598.71683512</v>
      </c>
      <c r="U23" s="91">
        <f t="shared" si="6"/>
        <v>2768924.91248959</v>
      </c>
      <c r="V23" s="91">
        <f t="shared" si="6"/>
        <v>3081044.18438558</v>
      </c>
    </row>
    <row r="24" spans="1:22">
      <c r="A24" s="67"/>
      <c r="B24" s="68"/>
      <c r="C24" s="69">
        <f>C20-C22</f>
        <v>0</v>
      </c>
      <c r="D24" s="69">
        <f t="shared" ref="D24:V24" si="7">D20-D22</f>
        <v>0</v>
      </c>
      <c r="E24" s="69">
        <f t="shared" si="7"/>
        <v>0</v>
      </c>
      <c r="F24" s="69">
        <f t="shared" si="7"/>
        <v>-37884.8626159028</v>
      </c>
      <c r="G24" s="69">
        <f t="shared" si="7"/>
        <v>-57954.3863021528</v>
      </c>
      <c r="H24" s="69">
        <f t="shared" si="7"/>
        <v>-56515.6208412161</v>
      </c>
      <c r="I24" s="69">
        <f t="shared" si="7"/>
        <v>-42388.2346265435</v>
      </c>
      <c r="J24" s="69">
        <f t="shared" si="7"/>
        <v>-45138.2346265435</v>
      </c>
      <c r="K24" s="69">
        <f t="shared" si="7"/>
        <v>-45553.1846265435</v>
      </c>
      <c r="L24" s="69">
        <f t="shared" si="7"/>
        <v>-45553.1846265435</v>
      </c>
      <c r="M24" s="69">
        <f t="shared" si="7"/>
        <v>-42803.1846265435</v>
      </c>
      <c r="N24" s="69">
        <f t="shared" si="7"/>
        <v>-45553.1846265435</v>
      </c>
      <c r="O24" s="69">
        <f t="shared" si="7"/>
        <v>-45553.1846265435</v>
      </c>
      <c r="P24" s="69">
        <f t="shared" si="7"/>
        <v>-46419.6846265435</v>
      </c>
      <c r="Q24" s="69">
        <f t="shared" si="7"/>
        <v>-43669.6846265435</v>
      </c>
      <c r="R24" s="69">
        <f t="shared" si="7"/>
        <v>-46419.6846265435</v>
      </c>
      <c r="S24" s="69">
        <f t="shared" si="7"/>
        <v>-46419.6846265435</v>
      </c>
      <c r="T24" s="69">
        <f t="shared" si="7"/>
        <v>-46419.6846265435</v>
      </c>
      <c r="U24" s="69">
        <f t="shared" si="7"/>
        <v>-60417.9799992747</v>
      </c>
      <c r="V24" s="69">
        <f t="shared" si="7"/>
        <v>-72531.889456446</v>
      </c>
    </row>
    <row r="25" spans="1:23">
      <c r="A25" s="70"/>
      <c r="B25" s="71" t="s">
        <v>468</v>
      </c>
      <c r="C25" s="72">
        <f>还本付息!D44*25%</f>
        <v>0</v>
      </c>
      <c r="D25" s="72">
        <f>还本付息!E44*25%</f>
        <v>0</v>
      </c>
      <c r="E25" s="72">
        <f>还本付息!F44*25%</f>
        <v>0</v>
      </c>
      <c r="F25" s="72">
        <f>还本付息!G44*25%</f>
        <v>18816.8066040043</v>
      </c>
      <c r="G25" s="72">
        <f>还本付息!H44*25%</f>
        <v>17777.2204847709</v>
      </c>
      <c r="H25" s="72">
        <f>还本付息!I44*25%</f>
        <v>15977.1554424495</v>
      </c>
      <c r="I25" s="72">
        <f>还本付息!J44*25%</f>
        <v>14076.9372294001</v>
      </c>
      <c r="J25" s="72">
        <f>还本付息!K44*25%</f>
        <v>12488.021905565</v>
      </c>
      <c r="K25" s="72">
        <f>还本付息!L44*25%</f>
        <v>10677.7401065261</v>
      </c>
      <c r="L25" s="72">
        <f>还本付息!M44*25%</f>
        <v>8725.48750758108</v>
      </c>
      <c r="M25" s="72">
        <f>还本付息!N44*25%</f>
        <v>6613.00377657765</v>
      </c>
      <c r="N25" s="72">
        <f>还本付息!O44*25%</f>
        <v>4418.09419335211</v>
      </c>
      <c r="O25" s="72">
        <f>还本付息!P44*25%</f>
        <v>1952.08115608333</v>
      </c>
      <c r="P25" s="72">
        <f>还本付息!Q44*25%</f>
        <v>131.305835859446</v>
      </c>
      <c r="Q25" s="72">
        <f>还本付息!R44*25%</f>
        <v>131.305835859446</v>
      </c>
      <c r="R25" s="72">
        <f>还本付息!S44*25%</f>
        <v>131.305835859446</v>
      </c>
      <c r="S25" s="72">
        <f>还本付息!T44*25%</f>
        <v>131.305835859446</v>
      </c>
      <c r="T25" s="72">
        <f>还本付息!U44*25%</f>
        <v>131.305835859446</v>
      </c>
      <c r="U25" s="72">
        <f>还本付息!V44*25%</f>
        <v>131.305835859446</v>
      </c>
      <c r="V25" s="72">
        <f>还本付息!W44*25%</f>
        <v>131.305835859446</v>
      </c>
      <c r="W25" s="93">
        <f t="shared" ref="G25:W25" si="8">W18+W24</f>
        <v>0</v>
      </c>
    </row>
    <row r="26" spans="1:22">
      <c r="A26" s="73"/>
      <c r="B26" s="20"/>
      <c r="C26" s="74"/>
      <c r="D26" s="75" t="s">
        <v>469</v>
      </c>
      <c r="E26" s="76" t="s">
        <v>470</v>
      </c>
      <c r="F26" s="77"/>
      <c r="G26" s="77"/>
      <c r="I26" s="77"/>
      <c r="J26" s="77"/>
      <c r="K26" s="77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</row>
    <row r="27" s="21" customFormat="1" ht="19.5" customHeight="1" spans="2:22">
      <c r="B27" s="20" t="s">
        <v>471</v>
      </c>
      <c r="C27" s="78" t="s">
        <v>472</v>
      </c>
      <c r="D27" s="79">
        <f>NPV(G27,C22:V22)</f>
        <v>28031.5162743703</v>
      </c>
      <c r="E27" s="80">
        <f>NPV(G28,C20:V20)</f>
        <v>102024.891451596</v>
      </c>
      <c r="F27" s="78" t="s">
        <v>473</v>
      </c>
      <c r="G27" s="81">
        <v>0.11</v>
      </c>
      <c r="H27" s="82"/>
      <c r="I27" s="94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="21" customFormat="1" ht="19.5" customHeight="1" spans="2:22">
      <c r="B28" s="20"/>
      <c r="C28" s="83" t="s">
        <v>474</v>
      </c>
      <c r="D28" s="84">
        <f>IRR(C22:V22)</f>
        <v>0.112532628200241</v>
      </c>
      <c r="E28" s="85">
        <f>IRR(C20:V20)</f>
        <v>0.0877929623133864</v>
      </c>
      <c r="F28" s="78" t="s">
        <v>475</v>
      </c>
      <c r="G28" s="86">
        <v>0.08</v>
      </c>
      <c r="H28" s="82"/>
      <c r="I28" s="95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</row>
    <row r="29" s="21" customFormat="1" ht="19.5" customHeight="1" spans="2:22">
      <c r="B29" s="20"/>
      <c r="C29" s="83" t="s">
        <v>476</v>
      </c>
      <c r="D29" s="87">
        <f>10-1+L23/L22</f>
        <v>9.22597798410317</v>
      </c>
      <c r="E29" s="88">
        <f>11-1+M21/M20</f>
        <v>9.95125874213143</v>
      </c>
      <c r="F29" s="83" t="s">
        <v>477</v>
      </c>
      <c r="G29" s="83">
        <v>3</v>
      </c>
      <c r="H29" s="82"/>
      <c r="I29" s="95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1" spans="3:22">
      <c r="C31" s="89"/>
      <c r="D31" s="89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</row>
    <row r="32" spans="3:22">
      <c r="C32" s="89"/>
      <c r="D32" s="89"/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</row>
  </sheetData>
  <mergeCells count="3">
    <mergeCell ref="A1:G1"/>
    <mergeCell ref="A2:V2"/>
    <mergeCell ref="G6:V6"/>
  </mergeCells>
  <hyperlinks>
    <hyperlink ref="A1:G1" location="目录!A1" display="项目投资现金流量表"/>
  </hyperlinks>
  <pageMargins left="0.7" right="0.7" top="0.75" bottom="0.75" header="0.3" footer="0.3"/>
  <pageSetup paperSize="9" orientation="portrait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7030A0"/>
  </sheetPr>
  <dimension ref="A1:V21"/>
  <sheetViews>
    <sheetView workbookViewId="0">
      <selection activeCell="A1" sqref="A1:F1"/>
    </sheetView>
  </sheetViews>
  <sheetFormatPr defaultColWidth="8" defaultRowHeight="15"/>
  <cols>
    <col min="1" max="1" width="4.87272727272727" style="20" customWidth="1"/>
    <col min="2" max="2" width="21.6272727272727" style="21" customWidth="1"/>
    <col min="3" max="5" width="9.37272727272727" style="21" customWidth="1"/>
    <col min="6" max="12" width="7.5" style="21" customWidth="1"/>
    <col min="13" max="22" width="6.75454545454545" style="21" customWidth="1"/>
    <col min="23" max="256" width="13.7545454545455" style="21" customWidth="1"/>
    <col min="257" max="16384" width="8" style="21"/>
  </cols>
  <sheetData>
    <row r="1" ht="40.5" customHeight="1" spans="1:6">
      <c r="A1" s="22" t="s">
        <v>478</v>
      </c>
      <c r="B1" s="22"/>
      <c r="C1" s="22"/>
      <c r="D1" s="22"/>
      <c r="E1" s="22"/>
      <c r="F1" s="22"/>
    </row>
    <row r="3" spans="1:1">
      <c r="A3" s="23" t="s">
        <v>258</v>
      </c>
    </row>
    <row r="5" spans="1:7">
      <c r="A5" s="24" t="s">
        <v>2</v>
      </c>
      <c r="B5" s="25"/>
      <c r="C5" s="25" t="s">
        <v>53</v>
      </c>
      <c r="D5" s="25"/>
      <c r="E5" s="25"/>
      <c r="F5" s="25" t="s">
        <v>262</v>
      </c>
      <c r="G5" s="25"/>
    </row>
    <row r="6" spans="1:22">
      <c r="A6" s="26"/>
      <c r="B6" s="27" t="s">
        <v>3</v>
      </c>
      <c r="C6" s="27" t="s">
        <v>121</v>
      </c>
      <c r="D6" s="27" t="s">
        <v>122</v>
      </c>
      <c r="E6" s="27" t="s">
        <v>123</v>
      </c>
      <c r="F6" s="27" t="s">
        <v>140</v>
      </c>
      <c r="G6" s="27" t="s">
        <v>141</v>
      </c>
      <c r="H6" s="27" t="s">
        <v>142</v>
      </c>
      <c r="I6" s="27" t="s">
        <v>143</v>
      </c>
      <c r="J6" s="27" t="s">
        <v>144</v>
      </c>
      <c r="K6" s="27" t="s">
        <v>145</v>
      </c>
      <c r="L6" s="27" t="s">
        <v>146</v>
      </c>
      <c r="M6" s="27" t="s">
        <v>147</v>
      </c>
      <c r="N6" s="27" t="s">
        <v>148</v>
      </c>
      <c r="O6" s="27" t="s">
        <v>149</v>
      </c>
      <c r="P6" s="27" t="s">
        <v>150</v>
      </c>
      <c r="Q6" s="27" t="s">
        <v>151</v>
      </c>
      <c r="R6" s="27" t="s">
        <v>152</v>
      </c>
      <c r="S6" s="27" t="s">
        <v>153</v>
      </c>
      <c r="T6" s="27" t="s">
        <v>154</v>
      </c>
      <c r="U6" s="27" t="s">
        <v>155</v>
      </c>
      <c r="V6" s="27" t="s">
        <v>156</v>
      </c>
    </row>
    <row r="7" spans="1:22">
      <c r="A7" s="26">
        <v>1</v>
      </c>
      <c r="B7" s="27" t="s">
        <v>428</v>
      </c>
      <c r="C7" s="28">
        <f>项目投资现金流量!C8</f>
        <v>0</v>
      </c>
      <c r="D7" s="28">
        <f t="shared" ref="D7:V7" si="0">D8+D9+D10</f>
        <v>0</v>
      </c>
      <c r="E7" s="28">
        <f t="shared" si="0"/>
        <v>0</v>
      </c>
      <c r="F7" s="28">
        <f t="shared" si="0"/>
        <v>624568.088</v>
      </c>
      <c r="G7" s="28">
        <f t="shared" si="0"/>
        <v>780710.11</v>
      </c>
      <c r="H7" s="28">
        <f t="shared" si="0"/>
        <v>780710.11</v>
      </c>
      <c r="I7" s="28">
        <f t="shared" si="0"/>
        <v>780710.11</v>
      </c>
      <c r="J7" s="28">
        <f t="shared" si="0"/>
        <v>780710.11</v>
      </c>
      <c r="K7" s="28">
        <f t="shared" si="0"/>
        <v>780710.11</v>
      </c>
      <c r="L7" s="28">
        <f t="shared" si="0"/>
        <v>780710.11</v>
      </c>
      <c r="M7" s="28">
        <f t="shared" si="0"/>
        <v>780710.11</v>
      </c>
      <c r="N7" s="28">
        <f t="shared" si="0"/>
        <v>780710.11</v>
      </c>
      <c r="O7" s="28">
        <f t="shared" si="0"/>
        <v>780710.11</v>
      </c>
      <c r="P7" s="28">
        <f t="shared" si="0"/>
        <v>780710.11</v>
      </c>
      <c r="Q7" s="28">
        <f t="shared" si="0"/>
        <v>780710.11</v>
      </c>
      <c r="R7" s="28">
        <f t="shared" si="0"/>
        <v>780710.11</v>
      </c>
      <c r="S7" s="28">
        <f t="shared" si="0"/>
        <v>780710.11</v>
      </c>
      <c r="T7" s="28">
        <f t="shared" si="0"/>
        <v>780710.11</v>
      </c>
      <c r="U7" s="28">
        <f t="shared" si="0"/>
        <v>829165.747828685</v>
      </c>
      <c r="V7" s="28">
        <f t="shared" si="0"/>
        <v>797958.824070206</v>
      </c>
    </row>
    <row r="8" spans="1:22">
      <c r="A8" s="29">
        <v>1.1</v>
      </c>
      <c r="B8" s="30" t="s">
        <v>479</v>
      </c>
      <c r="C8" s="31">
        <f>项目投资现金流量!C9</f>
        <v>0</v>
      </c>
      <c r="D8" s="31">
        <f>项目投资现金流量!D9</f>
        <v>0</v>
      </c>
      <c r="E8" s="31">
        <f>项目投资现金流量!E9</f>
        <v>0</v>
      </c>
      <c r="F8" s="31">
        <f>项目投资现金流量!F9</f>
        <v>624568.088</v>
      </c>
      <c r="G8" s="31">
        <f>项目投资现金流量!G9</f>
        <v>780710.11</v>
      </c>
      <c r="H8" s="31">
        <f>项目投资现金流量!H9</f>
        <v>780710.11</v>
      </c>
      <c r="I8" s="31">
        <f>项目投资现金流量!I9</f>
        <v>780710.11</v>
      </c>
      <c r="J8" s="31">
        <f>项目投资现金流量!J9</f>
        <v>780710.11</v>
      </c>
      <c r="K8" s="31">
        <f>项目投资现金流量!K9</f>
        <v>780710.11</v>
      </c>
      <c r="L8" s="31">
        <f>项目投资现金流量!L9</f>
        <v>780710.11</v>
      </c>
      <c r="M8" s="31">
        <f>项目投资现金流量!M9</f>
        <v>780710.11</v>
      </c>
      <c r="N8" s="31">
        <f>项目投资现金流量!N9</f>
        <v>780710.11</v>
      </c>
      <c r="O8" s="31">
        <f>项目投资现金流量!O9</f>
        <v>780710.11</v>
      </c>
      <c r="P8" s="31">
        <f>项目投资现金流量!P9</f>
        <v>780710.11</v>
      </c>
      <c r="Q8" s="31">
        <f>项目投资现金流量!Q9</f>
        <v>780710.11</v>
      </c>
      <c r="R8" s="31">
        <f>项目投资现金流量!R9</f>
        <v>780710.11</v>
      </c>
      <c r="S8" s="31">
        <f>项目投资现金流量!S9</f>
        <v>780710.11</v>
      </c>
      <c r="T8" s="31">
        <f>项目投资现金流量!T9</f>
        <v>780710.11</v>
      </c>
      <c r="U8" s="31">
        <f>项目投资现金流量!U9</f>
        <v>780710.11</v>
      </c>
      <c r="V8" s="31">
        <f>项目投资现金流量!V9</f>
        <v>780710.11</v>
      </c>
    </row>
    <row r="9" spans="1:22">
      <c r="A9" s="29">
        <v>1.2</v>
      </c>
      <c r="B9" s="30" t="s">
        <v>480</v>
      </c>
      <c r="C9" s="31">
        <f>项目投资现金流量!C10</f>
        <v>0</v>
      </c>
      <c r="D9" s="31">
        <f>项目投资现金流量!D10</f>
        <v>0</v>
      </c>
      <c r="E9" s="31">
        <f>项目投资现金流量!E10</f>
        <v>0</v>
      </c>
      <c r="F9" s="31">
        <f>项目投资现金流量!F10</f>
        <v>0</v>
      </c>
      <c r="G9" s="31">
        <f>项目投资现金流量!G10</f>
        <v>0</v>
      </c>
      <c r="H9" s="31">
        <f>项目投资现金流量!H10</f>
        <v>0</v>
      </c>
      <c r="I9" s="31">
        <f>项目投资现金流量!I10</f>
        <v>0</v>
      </c>
      <c r="J9" s="31">
        <f>项目投资现金流量!J10</f>
        <v>0</v>
      </c>
      <c r="K9" s="31">
        <f>项目投资现金流量!K10</f>
        <v>0</v>
      </c>
      <c r="L9" s="31">
        <f>项目投资现金流量!L10</f>
        <v>0</v>
      </c>
      <c r="M9" s="31">
        <f>项目投资现金流量!M10</f>
        <v>0</v>
      </c>
      <c r="N9" s="31">
        <f>项目投资现金流量!N10</f>
        <v>0</v>
      </c>
      <c r="O9" s="31">
        <f>项目投资现金流量!O10</f>
        <v>0</v>
      </c>
      <c r="P9" s="31">
        <f>项目投资现金流量!P10</f>
        <v>0</v>
      </c>
      <c r="Q9" s="31">
        <f>项目投资现金流量!Q10</f>
        <v>0</v>
      </c>
      <c r="R9" s="31">
        <f>项目投资现金流量!R10</f>
        <v>0</v>
      </c>
      <c r="S9" s="31">
        <f>项目投资现金流量!S10</f>
        <v>0</v>
      </c>
      <c r="T9" s="31">
        <f>项目投资现金流量!T10</f>
        <v>0</v>
      </c>
      <c r="U9" s="31">
        <f>项目投资现金流量!U10</f>
        <v>48455.6378286854</v>
      </c>
      <c r="V9" s="31">
        <f>项目投资现金流量!V10</f>
        <v>0</v>
      </c>
    </row>
    <row r="10" spans="1:22">
      <c r="A10" s="29">
        <v>1.3</v>
      </c>
      <c r="B10" s="30" t="s">
        <v>459</v>
      </c>
      <c r="C10" s="31"/>
      <c r="D10" s="28"/>
      <c r="E10" s="28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1">
        <f>流动资金!X24</f>
        <v>17248.7140702064</v>
      </c>
    </row>
    <row r="11" spans="1:22">
      <c r="A11" s="29">
        <v>2</v>
      </c>
      <c r="B11" s="27" t="s">
        <v>433</v>
      </c>
      <c r="C11" s="28">
        <f>C12+C13+C14+C15+C16+C17+C18</f>
        <v>122821.38</v>
      </c>
      <c r="D11" s="28">
        <f t="shared" ref="D11:V11" si="1">D12+D13+D14+D15+D16+D17+D18</f>
        <v>245642.76</v>
      </c>
      <c r="E11" s="28">
        <f t="shared" si="1"/>
        <v>245642.76</v>
      </c>
      <c r="F11" s="28">
        <f t="shared" si="1"/>
        <v>646749.869232483</v>
      </c>
      <c r="G11" s="28">
        <f t="shared" si="1"/>
        <v>738540.120272726</v>
      </c>
      <c r="H11" s="28">
        <f t="shared" si="1"/>
        <v>744208.978390305</v>
      </c>
      <c r="I11" s="28">
        <f t="shared" si="1"/>
        <v>777491.355247372</v>
      </c>
      <c r="J11" s="28">
        <f t="shared" si="1"/>
        <v>781830.270571207</v>
      </c>
      <c r="K11" s="28">
        <f t="shared" si="1"/>
        <v>784055.502370246</v>
      </c>
      <c r="L11" s="28">
        <f t="shared" si="1"/>
        <v>786007.75496919</v>
      </c>
      <c r="M11" s="28">
        <f t="shared" si="1"/>
        <v>522554.95636762</v>
      </c>
      <c r="N11" s="28">
        <f t="shared" si="1"/>
        <v>527499.865950845</v>
      </c>
      <c r="O11" s="28">
        <f t="shared" si="1"/>
        <v>529965.878988114</v>
      </c>
      <c r="P11" s="28">
        <f t="shared" si="1"/>
        <v>532653.154308338</v>
      </c>
      <c r="Q11" s="28">
        <f t="shared" si="1"/>
        <v>529903.154308338</v>
      </c>
      <c r="R11" s="28">
        <f t="shared" si="1"/>
        <v>532653.154308338</v>
      </c>
      <c r="S11" s="28">
        <f t="shared" si="1"/>
        <v>532653.154308338</v>
      </c>
      <c r="T11" s="28">
        <f t="shared" si="1"/>
        <v>532653.154308338</v>
      </c>
      <c r="U11" s="28">
        <f t="shared" si="1"/>
        <v>546651.449681069</v>
      </c>
      <c r="V11" s="28">
        <f t="shared" si="1"/>
        <v>558765.35913824</v>
      </c>
    </row>
    <row r="12" spans="1:22">
      <c r="A12" s="29">
        <v>2.1</v>
      </c>
      <c r="B12" s="30" t="s">
        <v>481</v>
      </c>
      <c r="C12" s="33">
        <f>' 资金筹措'!E42</f>
        <v>122821.38</v>
      </c>
      <c r="D12" s="33">
        <f>' 资金筹措'!F42</f>
        <v>245642.76</v>
      </c>
      <c r="E12" s="33">
        <f>' 资金筹措'!G42</f>
        <v>245642.76</v>
      </c>
      <c r="F12" s="34"/>
      <c r="G12" s="34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>
      <c r="A13" s="29">
        <v>2.2</v>
      </c>
      <c r="B13" s="30" t="s">
        <v>441</v>
      </c>
      <c r="C13" s="33"/>
      <c r="D13" s="32"/>
      <c r="E13" s="32"/>
      <c r="F13" s="34">
        <f>' 资金筹措'!H44</f>
        <v>4727.11091350941</v>
      </c>
      <c r="G13" s="34">
        <f>' 资金筹措'!I44</f>
        <v>447.503307552499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>
      <c r="A14" s="29">
        <v>2.3</v>
      </c>
      <c r="B14" s="27" t="s">
        <v>57</v>
      </c>
      <c r="C14" s="28">
        <f>经营成本!J35</f>
        <v>0</v>
      </c>
      <c r="D14" s="28">
        <f>经营成本!K35</f>
        <v>0</v>
      </c>
      <c r="E14" s="28">
        <f>经营成本!L35</f>
        <v>0</v>
      </c>
      <c r="F14" s="28">
        <f>经营成本!M35</f>
        <v>334880.962216779</v>
      </c>
      <c r="G14" s="28">
        <f>经营成本!N35</f>
        <v>403601.625471779</v>
      </c>
      <c r="H14" s="28">
        <f>经营成本!O35</f>
        <v>403601.625471779</v>
      </c>
      <c r="I14" s="28">
        <f>经营成本!P35</f>
        <v>403601.625471779</v>
      </c>
      <c r="J14" s="28">
        <f>经营成本!Q35</f>
        <v>403601.625471779</v>
      </c>
      <c r="K14" s="28">
        <f>经营成本!R35</f>
        <v>403601.625471779</v>
      </c>
      <c r="L14" s="28">
        <f>经营成本!S35</f>
        <v>403601.625471779</v>
      </c>
      <c r="M14" s="28">
        <f>经营成本!T35</f>
        <v>403601.625471779</v>
      </c>
      <c r="N14" s="28">
        <f>经营成本!U35</f>
        <v>403601.625471779</v>
      </c>
      <c r="O14" s="28">
        <f>经营成本!V35</f>
        <v>403601.625471779</v>
      </c>
      <c r="P14" s="28">
        <f>经营成本!W35</f>
        <v>403601.625471779</v>
      </c>
      <c r="Q14" s="28">
        <f>经营成本!X35</f>
        <v>403601.625471779</v>
      </c>
      <c r="R14" s="28">
        <f>经营成本!Y35</f>
        <v>403601.625471779</v>
      </c>
      <c r="S14" s="28">
        <f>经营成本!Z35</f>
        <v>403601.625471779</v>
      </c>
      <c r="T14" s="28">
        <f>经营成本!AA35</f>
        <v>403601.625471779</v>
      </c>
      <c r="U14" s="28">
        <f>经营成本!AB35</f>
        <v>403601.625471779</v>
      </c>
      <c r="V14" s="28">
        <f>经营成本!AC35</f>
        <v>403601.625471779</v>
      </c>
    </row>
    <row r="15" spans="1:22">
      <c r="A15" s="29">
        <v>2.4</v>
      </c>
      <c r="B15" s="27" t="s">
        <v>482</v>
      </c>
      <c r="C15" s="28">
        <f>还本付息!D8</f>
        <v>0</v>
      </c>
      <c r="D15" s="28">
        <f>还本付息!E8</f>
        <v>0</v>
      </c>
      <c r="E15" s="28">
        <f>还本付息!F8</f>
        <v>0</v>
      </c>
      <c r="F15" s="28">
        <f>还本付息!G8</f>
        <v>188027.857674279</v>
      </c>
      <c r="G15" s="28">
        <f>还本付息!H8</f>
        <v>197241.222700318</v>
      </c>
      <c r="H15" s="28">
        <f>还本付息!I8</f>
        <v>206906.042612634</v>
      </c>
      <c r="I15" s="28">
        <f>还本付息!J8</f>
        <v>217044.438700653</v>
      </c>
      <c r="J15" s="28">
        <f>还本付息!K8</f>
        <v>227679.616196985</v>
      </c>
      <c r="K15" s="28">
        <f>还本付息!L8</f>
        <v>238835.917390637</v>
      </c>
      <c r="L15" s="28">
        <f>还本付息!M8</f>
        <v>250538.877342778</v>
      </c>
      <c r="M15" s="28">
        <f>还本付息!N8</f>
        <v>0</v>
      </c>
      <c r="N15" s="28">
        <f>还本付息!O8</f>
        <v>0</v>
      </c>
      <c r="O15" s="28">
        <f>还本付息!P8</f>
        <v>0</v>
      </c>
      <c r="P15" s="28">
        <f>还本付息!Q8</f>
        <v>0</v>
      </c>
      <c r="Q15" s="28">
        <f>还本付息!R8</f>
        <v>0</v>
      </c>
      <c r="R15" s="28">
        <f>还本付息!S8</f>
        <v>0</v>
      </c>
      <c r="S15" s="28">
        <f>还本付息!T8</f>
        <v>0</v>
      </c>
      <c r="T15" s="28">
        <f>还本付息!U8</f>
        <v>0</v>
      </c>
      <c r="U15" s="28">
        <f>还本付息!V8</f>
        <v>0</v>
      </c>
      <c r="V15" s="28">
        <f>还本付息!W8</f>
        <v>0</v>
      </c>
    </row>
    <row r="16" spans="1:22">
      <c r="A16" s="29">
        <v>2.5</v>
      </c>
      <c r="B16" s="27" t="s">
        <v>483</v>
      </c>
      <c r="C16" s="28">
        <f>还本付息!D13</f>
        <v>0</v>
      </c>
      <c r="D16" s="28">
        <f>还本付息!E13</f>
        <v>0</v>
      </c>
      <c r="E16" s="28">
        <f>还本付息!F13</f>
        <v>0</v>
      </c>
      <c r="F16" s="28">
        <f>还本付息!G13</f>
        <v>75267.2264160172</v>
      </c>
      <c r="G16" s="28">
        <f>还本付息!H13</f>
        <v>66099.2829756941</v>
      </c>
      <c r="H16" s="28">
        <f>还本付息!I13</f>
        <v>56434.4630633785</v>
      </c>
      <c r="I16" s="28">
        <f>还本付息!J13</f>
        <v>46296.0669753594</v>
      </c>
      <c r="J16" s="28">
        <f>还本付息!K13</f>
        <v>35660.8894790274</v>
      </c>
      <c r="K16" s="28">
        <f>还本付息!L13</f>
        <v>24504.5882853751</v>
      </c>
      <c r="L16" s="28">
        <f>还本付息!M13</f>
        <v>12801.6283332339</v>
      </c>
      <c r="M16" s="28">
        <f>还本付息!N13</f>
        <v>525.223343437784</v>
      </c>
      <c r="N16" s="28">
        <f>还本付息!O13</f>
        <v>525.223343437784</v>
      </c>
      <c r="O16" s="28">
        <f>还本付息!P13</f>
        <v>525.223343437784</v>
      </c>
      <c r="P16" s="28">
        <f>还本付息!Q13</f>
        <v>525.223343437784</v>
      </c>
      <c r="Q16" s="28">
        <f>还本付息!R13</f>
        <v>525.223343437784</v>
      </c>
      <c r="R16" s="28">
        <f>还本付息!S13</f>
        <v>525.223343437784</v>
      </c>
      <c r="S16" s="28">
        <f>还本付息!T13</f>
        <v>525.223343437784</v>
      </c>
      <c r="T16" s="28">
        <f>还本付息!U13</f>
        <v>525.223343437784</v>
      </c>
      <c r="U16" s="28">
        <f>还本付息!V13</f>
        <v>525.223343437784</v>
      </c>
      <c r="V16" s="28">
        <f>还本付息!W13</f>
        <v>525.223343437784</v>
      </c>
    </row>
    <row r="17" spans="1:22">
      <c r="A17" s="29">
        <v>2.6</v>
      </c>
      <c r="B17" s="27" t="s">
        <v>240</v>
      </c>
      <c r="C17" s="28">
        <f>销售税金!D5+销售税金!D9</f>
        <v>0</v>
      </c>
      <c r="D17" s="28">
        <f>销售税金!E5+销售税金!E9</f>
        <v>0</v>
      </c>
      <c r="E17" s="28">
        <f>销售税金!F5+销售税金!F9</f>
        <v>0</v>
      </c>
      <c r="F17" s="28">
        <f>销售税金!G5+销售税金!G9</f>
        <v>24778.656</v>
      </c>
      <c r="G17" s="28">
        <f>销售税金!H5+销售税金!H9</f>
        <v>30973.32</v>
      </c>
      <c r="H17" s="28">
        <f>销售税金!I5+销售税金!I9</f>
        <v>36728.3818437468</v>
      </c>
      <c r="I17" s="28">
        <f>销售税金!J5+销售税金!J9</f>
        <v>82237.926702437</v>
      </c>
      <c r="J17" s="28">
        <f>销售税金!K5+销售税金!K9</f>
        <v>82237.926702437</v>
      </c>
      <c r="K17" s="28">
        <f>销售税金!L5+销售税金!L9</f>
        <v>82237.926702437</v>
      </c>
      <c r="L17" s="28">
        <f>销售税金!M5+销售税金!M9</f>
        <v>82237.926702437</v>
      </c>
      <c r="M17" s="28">
        <f>销售税金!N5+销售税金!N9</f>
        <v>82237.926702437</v>
      </c>
      <c r="N17" s="28">
        <f>销售税金!O5+销售税金!O9</f>
        <v>82237.926702437</v>
      </c>
      <c r="O17" s="28">
        <f>销售税金!P5+销售税金!P9</f>
        <v>82237.926702437</v>
      </c>
      <c r="P17" s="28">
        <f>销售税金!Q5+销售税金!Q9</f>
        <v>82237.926702437</v>
      </c>
      <c r="Q17" s="28">
        <f>销售税金!R5+销售税金!R9</f>
        <v>82237.926702437</v>
      </c>
      <c r="R17" s="28">
        <f>销售税金!S5+销售税金!S9</f>
        <v>82237.926702437</v>
      </c>
      <c r="S17" s="28">
        <f>销售税金!T5+销售税金!T9</f>
        <v>82237.926702437</v>
      </c>
      <c r="T17" s="28">
        <f>销售税金!U5+销售税金!U9</f>
        <v>82237.926702437</v>
      </c>
      <c r="U17" s="28">
        <f>销售税金!V5+销售税金!V9</f>
        <v>82237.926702437</v>
      </c>
      <c r="V17" s="28">
        <f>销售税金!W5+销售税金!W9</f>
        <v>82237.926702437</v>
      </c>
    </row>
    <row r="18" spans="1:22">
      <c r="A18" s="29">
        <v>2.7</v>
      </c>
      <c r="B18" s="27" t="s">
        <v>252</v>
      </c>
      <c r="C18" s="28">
        <f>' 损益表'!C21</f>
        <v>0</v>
      </c>
      <c r="D18" s="28">
        <f>' 损益表'!D21</f>
        <v>0</v>
      </c>
      <c r="E18" s="28">
        <f>' 损益表'!E21</f>
        <v>0</v>
      </c>
      <c r="F18" s="28">
        <f>' 损益表'!F21</f>
        <v>19068.0560118985</v>
      </c>
      <c r="G18" s="28">
        <f>' 损益表'!G21</f>
        <v>40177.1658173819</v>
      </c>
      <c r="H18" s="28">
        <f>' 损益表'!H21</f>
        <v>40538.4653987666</v>
      </c>
      <c r="I18" s="28">
        <f>' 损益表'!I21</f>
        <v>28311.2973971434</v>
      </c>
      <c r="J18" s="28">
        <f>' 损益表'!J21</f>
        <v>32650.2127209785</v>
      </c>
      <c r="K18" s="28">
        <f>' 损益表'!K21</f>
        <v>34875.4445200174</v>
      </c>
      <c r="L18" s="28">
        <f>' 损益表'!L21</f>
        <v>36827.6971189624</v>
      </c>
      <c r="M18" s="28">
        <f>' 损益表'!M21</f>
        <v>36190.1808499659</v>
      </c>
      <c r="N18" s="28">
        <f>' 损益表'!N21</f>
        <v>41135.0904331914</v>
      </c>
      <c r="O18" s="28">
        <f>' 损益表'!O21</f>
        <v>43601.1034704602</v>
      </c>
      <c r="P18" s="28">
        <f>' 损益表'!P21</f>
        <v>46288.3787906841</v>
      </c>
      <c r="Q18" s="28">
        <f>' 损益表'!Q21</f>
        <v>43538.3787906841</v>
      </c>
      <c r="R18" s="28">
        <f>' 损益表'!R21</f>
        <v>46288.3787906841</v>
      </c>
      <c r="S18" s="28">
        <f>' 损益表'!S21</f>
        <v>46288.3787906841</v>
      </c>
      <c r="T18" s="28">
        <f>' 损益表'!T21</f>
        <v>46288.3787906841</v>
      </c>
      <c r="U18" s="28">
        <f>' 损益表'!U21</f>
        <v>60286.6741634152</v>
      </c>
      <c r="V18" s="28">
        <f>' 损益表'!V21</f>
        <v>72400.5836205866</v>
      </c>
    </row>
    <row r="19" spans="1:22">
      <c r="A19" s="29">
        <v>3</v>
      </c>
      <c r="B19" s="27" t="s">
        <v>452</v>
      </c>
      <c r="C19" s="28">
        <f>C7-C11</f>
        <v>-122821.38</v>
      </c>
      <c r="D19" s="28">
        <f t="shared" ref="D19:V19" si="2">D7-D11</f>
        <v>-245642.76</v>
      </c>
      <c r="E19" s="28">
        <f t="shared" si="2"/>
        <v>-245642.76</v>
      </c>
      <c r="F19" s="28">
        <f t="shared" si="2"/>
        <v>-22181.7812324826</v>
      </c>
      <c r="G19" s="28">
        <f t="shared" si="2"/>
        <v>42169.9897272743</v>
      </c>
      <c r="H19" s="28">
        <f t="shared" si="2"/>
        <v>36501.1316096954</v>
      </c>
      <c r="I19" s="28">
        <f t="shared" si="2"/>
        <v>3218.75475262816</v>
      </c>
      <c r="J19" s="28">
        <f t="shared" si="2"/>
        <v>-1120.16057120694</v>
      </c>
      <c r="K19" s="28">
        <f t="shared" si="2"/>
        <v>-3345.39237024577</v>
      </c>
      <c r="L19" s="28">
        <f t="shared" si="2"/>
        <v>-5297.64496919012</v>
      </c>
      <c r="M19" s="28">
        <f t="shared" si="2"/>
        <v>258155.15363238</v>
      </c>
      <c r="N19" s="28">
        <f t="shared" si="2"/>
        <v>253210.244049155</v>
      </c>
      <c r="O19" s="28">
        <f t="shared" si="2"/>
        <v>250744.231011886</v>
      </c>
      <c r="P19" s="28">
        <f t="shared" si="2"/>
        <v>248056.955691662</v>
      </c>
      <c r="Q19" s="28">
        <f t="shared" si="2"/>
        <v>250806.955691662</v>
      </c>
      <c r="R19" s="28">
        <f t="shared" si="2"/>
        <v>248056.955691662</v>
      </c>
      <c r="S19" s="28">
        <f t="shared" si="2"/>
        <v>248056.955691662</v>
      </c>
      <c r="T19" s="28">
        <f t="shared" si="2"/>
        <v>248056.955691662</v>
      </c>
      <c r="U19" s="28">
        <f t="shared" si="2"/>
        <v>282514.298147617</v>
      </c>
      <c r="V19" s="28">
        <f t="shared" si="2"/>
        <v>239193.464931966</v>
      </c>
    </row>
    <row r="20" ht="24" spans="2:6">
      <c r="B20" s="21" t="s">
        <v>471</v>
      </c>
      <c r="D20" s="35" t="s">
        <v>474</v>
      </c>
      <c r="E20" s="36">
        <f>IRR(C19:V19)</f>
        <v>0.121120791814895</v>
      </c>
      <c r="F20" s="37"/>
    </row>
    <row r="21" spans="4:6">
      <c r="D21" s="37" t="s">
        <v>484</v>
      </c>
      <c r="E21" s="38">
        <f>NPV(F21,C19:V19)</f>
        <v>62271.1795451527</v>
      </c>
      <c r="F21" s="39">
        <v>0.11</v>
      </c>
    </row>
  </sheetData>
  <mergeCells count="2">
    <mergeCell ref="A1:F1"/>
    <mergeCell ref="C5:E5"/>
  </mergeCells>
  <hyperlinks>
    <hyperlink ref="A1:F1" location="目录!A1" display="项目资本金现金流量表"/>
  </hyperlink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J28"/>
  <sheetViews>
    <sheetView workbookViewId="0">
      <selection activeCell="A1" sqref="A1:H1"/>
    </sheetView>
  </sheetViews>
  <sheetFormatPr defaultColWidth="9" defaultRowHeight="14"/>
  <cols>
    <col min="2" max="2" width="12.8727272727273" customWidth="1"/>
    <col min="3" max="3" width="11.1272727272727" customWidth="1"/>
    <col min="4" max="4" width="12.8727272727273" customWidth="1"/>
    <col min="5" max="5" width="17.6272727272727" customWidth="1"/>
    <col min="6" max="6" width="14.5" customWidth="1"/>
    <col min="7" max="7" width="15.5" customWidth="1"/>
    <col min="8" max="8" width="11.8727272727273" customWidth="1"/>
  </cols>
  <sheetData>
    <row r="1" ht="25.5" customHeight="1" spans="1:8">
      <c r="A1" s="1" t="s">
        <v>485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486</v>
      </c>
      <c r="C2" s="2" t="s">
        <v>487</v>
      </c>
      <c r="D2" s="2" t="s">
        <v>488</v>
      </c>
      <c r="E2" s="2" t="s">
        <v>489</v>
      </c>
      <c r="F2" s="2" t="s">
        <v>490</v>
      </c>
      <c r="G2" s="2" t="s">
        <v>491</v>
      </c>
      <c r="H2" s="2"/>
    </row>
    <row r="3" spans="1:10">
      <c r="A3" s="2"/>
      <c r="B3" s="2" t="s">
        <v>492</v>
      </c>
      <c r="C3" s="2">
        <v>200</v>
      </c>
      <c r="D3" s="2" t="s">
        <v>493</v>
      </c>
      <c r="E3" s="3">
        <v>0</v>
      </c>
      <c r="F3" s="4">
        <f>主要参数指标汇总表!J15</f>
        <v>0.112532628200241</v>
      </c>
      <c r="G3" s="4">
        <f>主要参数指标汇总表!J16</f>
        <v>0.0877929623133864</v>
      </c>
      <c r="H3" s="2"/>
      <c r="J3" s="19" t="s">
        <v>494</v>
      </c>
    </row>
    <row r="4" spans="1:8">
      <c r="A4" s="5">
        <v>1</v>
      </c>
      <c r="B4" s="5" t="s">
        <v>495</v>
      </c>
      <c r="C4" s="5">
        <v>200</v>
      </c>
      <c r="D4" s="6">
        <v>160</v>
      </c>
      <c r="E4" s="7">
        <v>-0.2</v>
      </c>
      <c r="F4" s="4">
        <v>0.130050349369609</v>
      </c>
      <c r="G4" s="4">
        <v>0.109217228386156</v>
      </c>
      <c r="H4" s="2"/>
    </row>
    <row r="5" spans="1:8">
      <c r="A5" s="8"/>
      <c r="B5" s="8"/>
      <c r="C5" s="8"/>
      <c r="D5" s="6">
        <v>180</v>
      </c>
      <c r="E5" s="7">
        <v>-0.1</v>
      </c>
      <c r="F5" s="4">
        <v>0.122348221186073</v>
      </c>
      <c r="G5" s="4">
        <v>0.102909693000117</v>
      </c>
      <c r="H5" s="2"/>
    </row>
    <row r="6" spans="1:8">
      <c r="A6" s="8"/>
      <c r="B6" s="8"/>
      <c r="C6" s="8"/>
      <c r="D6" s="6">
        <v>220</v>
      </c>
      <c r="E6" s="7">
        <v>0.1</v>
      </c>
      <c r="F6" s="4">
        <v>0.106331306828347</v>
      </c>
      <c r="G6" s="4">
        <v>0.0898208315791045</v>
      </c>
      <c r="H6" s="2"/>
    </row>
    <row r="7" spans="1:8">
      <c r="A7" s="9"/>
      <c r="B7" s="9"/>
      <c r="C7" s="9"/>
      <c r="D7" s="6">
        <v>240</v>
      </c>
      <c r="E7" s="7">
        <v>0.2</v>
      </c>
      <c r="F7" s="4">
        <v>0.0979736089496865</v>
      </c>
      <c r="G7" s="4">
        <v>0.08300968373486</v>
      </c>
      <c r="H7" s="2"/>
    </row>
    <row r="8" spans="1:8">
      <c r="A8" s="5">
        <v>2</v>
      </c>
      <c r="B8" s="5" t="s">
        <v>496</v>
      </c>
      <c r="C8" s="5">
        <v>1.6</v>
      </c>
      <c r="D8" s="6">
        <f>$C$8*(1+E8)</f>
        <v>1.28</v>
      </c>
      <c r="E8" s="7">
        <v>-0.2</v>
      </c>
      <c r="F8" s="4">
        <v>0.0539431463298226</v>
      </c>
      <c r="G8" s="4">
        <v>0.047467359906129</v>
      </c>
      <c r="H8" s="2"/>
    </row>
    <row r="9" spans="1:8">
      <c r="A9" s="8"/>
      <c r="B9" s="8"/>
      <c r="C9" s="8"/>
      <c r="D9" s="6">
        <f t="shared" ref="D9:D11" si="0">$C$8*(1+E9)</f>
        <v>1.44</v>
      </c>
      <c r="E9" s="7">
        <v>-0.1</v>
      </c>
      <c r="F9" s="4">
        <v>0.086400949853527</v>
      </c>
      <c r="G9" s="4">
        <v>0.0736081307158463</v>
      </c>
      <c r="H9" s="2"/>
    </row>
    <row r="10" spans="1:8">
      <c r="A10" s="8"/>
      <c r="B10" s="8"/>
      <c r="C10" s="8"/>
      <c r="D10" s="6">
        <f t="shared" si="0"/>
        <v>1.76</v>
      </c>
      <c r="E10" s="7">
        <v>0.1</v>
      </c>
      <c r="F10" s="4">
        <v>0.141165779989252</v>
      </c>
      <c r="G10" s="4">
        <v>0.118332144272807</v>
      </c>
      <c r="H10" s="2"/>
    </row>
    <row r="11" spans="1:8">
      <c r="A11" s="9"/>
      <c r="B11" s="9"/>
      <c r="C11" s="9"/>
      <c r="D11" s="6">
        <f t="shared" si="0"/>
        <v>1.92</v>
      </c>
      <c r="E11" s="7">
        <v>0.2</v>
      </c>
      <c r="F11" s="10">
        <v>0.165346624079146</v>
      </c>
      <c r="G11" s="10">
        <v>0.138198209302945</v>
      </c>
      <c r="H11" s="2"/>
    </row>
    <row r="12" spans="1:10">
      <c r="A12" s="5">
        <v>3</v>
      </c>
      <c r="B12" s="5" t="s">
        <v>91</v>
      </c>
      <c r="C12" s="5">
        <v>2047023</v>
      </c>
      <c r="D12" s="6">
        <f>$C$12*(1+E12)</f>
        <v>1637618.4</v>
      </c>
      <c r="E12" s="7">
        <v>-0.2</v>
      </c>
      <c r="F12" s="4">
        <v>0.153258701184002</v>
      </c>
      <c r="G12" s="4">
        <v>0.12828454623378</v>
      </c>
      <c r="H12" s="2"/>
      <c r="J12" s="19" t="s">
        <v>497</v>
      </c>
    </row>
    <row r="13" spans="1:8">
      <c r="A13" s="8"/>
      <c r="B13" s="8"/>
      <c r="C13" s="8"/>
      <c r="D13" s="6">
        <f t="shared" ref="D13:D15" si="1">$C$12*(1+E13)</f>
        <v>1842320.7</v>
      </c>
      <c r="E13" s="7">
        <v>-0.1</v>
      </c>
      <c r="F13" s="4">
        <v>0.132618988549116</v>
      </c>
      <c r="G13" s="4">
        <v>0.111331768479898</v>
      </c>
      <c r="H13" s="2"/>
    </row>
    <row r="14" spans="1:8">
      <c r="A14" s="8"/>
      <c r="B14" s="8"/>
      <c r="C14" s="8"/>
      <c r="D14" s="6">
        <f t="shared" si="1"/>
        <v>2251725.3</v>
      </c>
      <c r="E14" s="7">
        <v>0.1</v>
      </c>
      <c r="F14" s="4">
        <v>0.09989103097096</v>
      </c>
      <c r="G14" s="4">
        <v>0.0845653866802099</v>
      </c>
      <c r="H14" s="2"/>
    </row>
    <row r="15" spans="1:8">
      <c r="A15" s="9"/>
      <c r="B15" s="9"/>
      <c r="C15" s="9"/>
      <c r="D15" s="6">
        <f t="shared" si="1"/>
        <v>2456427.6</v>
      </c>
      <c r="E15" s="7">
        <v>0.2</v>
      </c>
      <c r="F15" s="4">
        <v>0.086534002915962</v>
      </c>
      <c r="G15" s="4">
        <v>0.0737048553318416</v>
      </c>
      <c r="H15" s="2"/>
    </row>
    <row r="16" spans="1:10">
      <c r="A16" s="5">
        <v>4</v>
      </c>
      <c r="B16" s="11" t="s">
        <v>498</v>
      </c>
      <c r="C16" s="5">
        <v>402500</v>
      </c>
      <c r="D16" s="6">
        <f>$C$16*(1+E16)</f>
        <v>322000</v>
      </c>
      <c r="E16" s="7">
        <v>-0.2</v>
      </c>
      <c r="F16" s="4">
        <v>0.0427633945037296</v>
      </c>
      <c r="G16" s="4">
        <v>0.0385714176432661</v>
      </c>
      <c r="H16" s="2"/>
      <c r="J16" s="19" t="s">
        <v>499</v>
      </c>
    </row>
    <row r="17" spans="1:8">
      <c r="A17" s="8"/>
      <c r="B17" s="8"/>
      <c r="C17" s="8"/>
      <c r="D17" s="6">
        <f t="shared" ref="D17:D19" si="2">$C$16*(1+E17)</f>
        <v>362250</v>
      </c>
      <c r="E17" s="7">
        <v>-0.1</v>
      </c>
      <c r="F17" s="4">
        <v>0.0816356785835946</v>
      </c>
      <c r="G17" s="4">
        <v>0.0697483100085863</v>
      </c>
      <c r="H17" s="2"/>
    </row>
    <row r="18" spans="1:8">
      <c r="A18" s="8"/>
      <c r="B18" s="8"/>
      <c r="C18" s="8"/>
      <c r="D18" s="6">
        <f t="shared" si="2"/>
        <v>442750</v>
      </c>
      <c r="E18" s="7">
        <v>0.1</v>
      </c>
      <c r="F18" s="4">
        <v>0.145051960384376</v>
      </c>
      <c r="G18" s="4">
        <v>0.121518934665888</v>
      </c>
      <c r="H18" s="2"/>
    </row>
    <row r="19" spans="1:8">
      <c r="A19" s="9"/>
      <c r="B19" s="9"/>
      <c r="C19" s="9"/>
      <c r="D19" s="6">
        <f t="shared" si="2"/>
        <v>483000</v>
      </c>
      <c r="E19" s="7">
        <v>0.2</v>
      </c>
      <c r="F19" s="4">
        <v>0.172586024661193</v>
      </c>
      <c r="G19" s="4">
        <v>0.144145559795803</v>
      </c>
      <c r="H19" s="2"/>
    </row>
    <row r="21" spans="6:7">
      <c r="F21" s="10">
        <f>主要参数指标汇总表!J15</f>
        <v>0.112532628200241</v>
      </c>
      <c r="G21" s="10">
        <f>主要参数指标汇总表!J16</f>
        <v>0.0877929623133864</v>
      </c>
    </row>
    <row r="22" spans="3:7">
      <c r="C22" s="12" t="s">
        <v>500</v>
      </c>
      <c r="D22" s="13" t="s">
        <v>501</v>
      </c>
      <c r="E22" s="13"/>
      <c r="F22" s="13"/>
      <c r="G22" s="13"/>
    </row>
    <row r="23" spans="3:7">
      <c r="C23" s="14"/>
      <c r="D23" s="15" t="s">
        <v>495</v>
      </c>
      <c r="E23" s="15" t="s">
        <v>496</v>
      </c>
      <c r="F23" s="15" t="s">
        <v>91</v>
      </c>
      <c r="G23" s="15" t="s">
        <v>502</v>
      </c>
    </row>
    <row r="24" spans="3:7">
      <c r="C24" s="16">
        <v>0.2</v>
      </c>
      <c r="D24" s="17">
        <f>G7</f>
        <v>0.08300968373486</v>
      </c>
      <c r="E24" s="17">
        <f>G11</f>
        <v>0.138198209302945</v>
      </c>
      <c r="F24" s="17">
        <f>G15</f>
        <v>0.0737048553318416</v>
      </c>
      <c r="G24" s="17">
        <f>G19</f>
        <v>0.144145559795803</v>
      </c>
    </row>
    <row r="25" spans="3:7">
      <c r="C25" s="16">
        <v>0.1</v>
      </c>
      <c r="D25" s="17">
        <f>G6</f>
        <v>0.0898208315791045</v>
      </c>
      <c r="E25" s="17">
        <f>G10</f>
        <v>0.118332144272807</v>
      </c>
      <c r="F25" s="17">
        <f>G14</f>
        <v>0.0845653866802099</v>
      </c>
      <c r="G25" s="17">
        <f>G18</f>
        <v>0.121518934665888</v>
      </c>
    </row>
    <row r="26" spans="3:7">
      <c r="C26" s="18">
        <v>0</v>
      </c>
      <c r="D26" s="17">
        <f>G3</f>
        <v>0.0877929623133864</v>
      </c>
      <c r="E26" s="17">
        <f>D26</f>
        <v>0.0877929623133864</v>
      </c>
      <c r="F26" s="17">
        <f>D26</f>
        <v>0.0877929623133864</v>
      </c>
      <c r="G26" s="17">
        <f>D26</f>
        <v>0.0877929623133864</v>
      </c>
    </row>
    <row r="27" spans="3:7">
      <c r="C27" s="16">
        <v>-0.1</v>
      </c>
      <c r="D27" s="17">
        <f>G5</f>
        <v>0.102909693000117</v>
      </c>
      <c r="E27" s="17">
        <f>G9</f>
        <v>0.0736081307158463</v>
      </c>
      <c r="F27" s="17">
        <f>G13</f>
        <v>0.111331768479898</v>
      </c>
      <c r="G27" s="17">
        <f>G17</f>
        <v>0.0697483100085863</v>
      </c>
    </row>
    <row r="28" spans="3:7">
      <c r="C28" s="16">
        <v>-0.2</v>
      </c>
      <c r="D28" s="17">
        <f>G4</f>
        <v>0.109217228386156</v>
      </c>
      <c r="E28" s="17">
        <f>G8</f>
        <v>0.047467359906129</v>
      </c>
      <c r="F28" s="17">
        <f>G12</f>
        <v>0.12828454623378</v>
      </c>
      <c r="G28" s="17">
        <f>G16</f>
        <v>0.0385714176432661</v>
      </c>
    </row>
  </sheetData>
  <mergeCells count="15">
    <mergeCell ref="A1:H1"/>
    <mergeCell ref="D22:G22"/>
    <mergeCell ref="A4:A7"/>
    <mergeCell ref="A8:A11"/>
    <mergeCell ref="A12:A15"/>
    <mergeCell ref="A16:A19"/>
    <mergeCell ref="B4:B7"/>
    <mergeCell ref="B8:B11"/>
    <mergeCell ref="B12:B15"/>
    <mergeCell ref="B16:B19"/>
    <mergeCell ref="C4:C7"/>
    <mergeCell ref="C8:C11"/>
    <mergeCell ref="C12:C15"/>
    <mergeCell ref="C16:C19"/>
    <mergeCell ref="C22:C23"/>
  </mergeCells>
  <hyperlinks>
    <hyperlink ref="J3" location="主要参数指标汇总表!A1" display="到参数表"/>
    <hyperlink ref="J12" location="建设投资!A1" display="到建设投资"/>
    <hyperlink ref="J16" location="销售收入!A1" display="到销售收入"/>
    <hyperlink ref="A1:H1" location="目录!A1" display="敏感性分析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O29"/>
  <sheetViews>
    <sheetView topLeftCell="B1" workbookViewId="0">
      <selection activeCell="J12" sqref="J12"/>
    </sheetView>
  </sheetViews>
  <sheetFormatPr defaultColWidth="9" defaultRowHeight="14"/>
  <cols>
    <col min="3" max="3" width="19" customWidth="1"/>
    <col min="4" max="4" width="9.5" customWidth="1"/>
    <col min="9" max="9" width="17.8727272727273" customWidth="1"/>
    <col min="10" max="10" width="10.3727272727273" customWidth="1"/>
    <col min="12" max="13" width="12.5" customWidth="1"/>
    <col min="14" max="14" width="5.12727272727273" customWidth="1"/>
  </cols>
  <sheetData>
    <row r="1" spans="2:11">
      <c r="B1" s="571" t="s">
        <v>0</v>
      </c>
      <c r="C1" s="571"/>
      <c r="D1" s="571"/>
      <c r="E1" s="571"/>
      <c r="H1" s="571" t="s">
        <v>1</v>
      </c>
      <c r="I1" s="571"/>
      <c r="J1" s="571"/>
      <c r="K1" s="571"/>
    </row>
    <row r="2" spans="2:11">
      <c r="B2" s="571"/>
      <c r="C2" s="571"/>
      <c r="D2" s="571"/>
      <c r="E2" s="571"/>
      <c r="H2" s="571"/>
      <c r="I2" s="571"/>
      <c r="J2" s="571"/>
      <c r="K2" s="571"/>
    </row>
    <row r="3" spans="2:15">
      <c r="B3" s="572" t="s">
        <v>2</v>
      </c>
      <c r="C3" s="573" t="s">
        <v>3</v>
      </c>
      <c r="D3" s="573" t="s">
        <v>4</v>
      </c>
      <c r="E3" s="573" t="s">
        <v>5</v>
      </c>
      <c r="H3" s="572" t="s">
        <v>2</v>
      </c>
      <c r="I3" s="573" t="s">
        <v>6</v>
      </c>
      <c r="J3" s="573" t="s">
        <v>7</v>
      </c>
      <c r="K3" s="573" t="s">
        <v>5</v>
      </c>
      <c r="L3" s="586" t="s">
        <v>8</v>
      </c>
      <c r="M3" s="587" t="s">
        <v>9</v>
      </c>
      <c r="N3" s="588"/>
      <c r="O3" s="589" t="s">
        <v>10</v>
      </c>
    </row>
    <row r="4" spans="2:14">
      <c r="B4" s="574">
        <v>1</v>
      </c>
      <c r="C4" s="575" t="s">
        <v>11</v>
      </c>
      <c r="D4" s="576">
        <v>175</v>
      </c>
      <c r="E4" s="577" t="s">
        <v>12</v>
      </c>
      <c r="H4" s="578">
        <v>1</v>
      </c>
      <c r="I4" s="590" t="s">
        <v>13</v>
      </c>
      <c r="J4" s="591">
        <f>建设投资!I11</f>
        <v>2157629.58668849</v>
      </c>
      <c r="K4" s="590" t="s">
        <v>14</v>
      </c>
      <c r="L4" s="592">
        <v>2161823</v>
      </c>
      <c r="M4" s="593">
        <f>(J4-L4)/L4*100%</f>
        <v>-0.00193975793185126</v>
      </c>
      <c r="N4" s="594"/>
    </row>
    <row r="5" spans="2:14">
      <c r="B5" s="574">
        <v>2</v>
      </c>
      <c r="C5" s="575" t="s">
        <v>15</v>
      </c>
      <c r="D5" s="576">
        <v>225</v>
      </c>
      <c r="E5" s="577" t="s">
        <v>12</v>
      </c>
      <c r="H5" s="578">
        <v>2</v>
      </c>
      <c r="I5" s="590" t="s">
        <v>16</v>
      </c>
      <c r="J5" s="591">
        <f>建设投资!I14</f>
        <v>2047023</v>
      </c>
      <c r="K5" s="590" t="s">
        <v>14</v>
      </c>
      <c r="L5" s="592">
        <v>2047023</v>
      </c>
      <c r="M5" s="593">
        <f t="shared" ref="M5:M23" si="0">(J5-L5)/L5*100%</f>
        <v>0</v>
      </c>
      <c r="N5" s="594"/>
    </row>
    <row r="6" spans="2:14">
      <c r="B6" s="574">
        <v>3</v>
      </c>
      <c r="C6" s="575" t="s">
        <v>17</v>
      </c>
      <c r="D6" s="576">
        <v>0.43</v>
      </c>
      <c r="E6" s="577" t="s">
        <v>18</v>
      </c>
      <c r="H6" s="578">
        <v>3</v>
      </c>
      <c r="I6" s="590" t="s">
        <v>19</v>
      </c>
      <c r="J6" s="591">
        <f>' 资金筹措'!D8</f>
        <v>93357.8726182849</v>
      </c>
      <c r="K6" s="590" t="s">
        <v>14</v>
      </c>
      <c r="L6" s="592">
        <v>97833</v>
      </c>
      <c r="M6" s="593">
        <f t="shared" si="0"/>
        <v>-0.045742514097647</v>
      </c>
      <c r="N6" s="594"/>
    </row>
    <row r="7" spans="2:14">
      <c r="B7" s="574">
        <v>4</v>
      </c>
      <c r="C7" s="575" t="s">
        <v>20</v>
      </c>
      <c r="D7" s="576">
        <v>3.5</v>
      </c>
      <c r="E7" s="577" t="s">
        <v>12</v>
      </c>
      <c r="H7" s="578">
        <v>4</v>
      </c>
      <c r="I7" s="590" t="s">
        <v>21</v>
      </c>
      <c r="J7" s="591">
        <f>' 资金筹措'!D39</f>
        <v>17248.7140702064</v>
      </c>
      <c r="K7" s="590" t="s">
        <v>14</v>
      </c>
      <c r="L7" s="592">
        <v>16967</v>
      </c>
      <c r="M7" s="593">
        <f t="shared" si="0"/>
        <v>0.0166036465024086</v>
      </c>
      <c r="N7" s="594"/>
    </row>
    <row r="8" spans="2:14">
      <c r="B8" s="574">
        <v>5</v>
      </c>
      <c r="C8" s="575" t="s">
        <v>22</v>
      </c>
      <c r="D8" s="576">
        <v>1.6</v>
      </c>
      <c r="E8" s="577" t="s">
        <v>23</v>
      </c>
      <c r="H8" s="578">
        <v>5</v>
      </c>
      <c r="I8" s="590" t="s">
        <v>24</v>
      </c>
      <c r="J8" s="591">
        <f>' 资金筹措'!D42</f>
        <v>619281.514221062</v>
      </c>
      <c r="K8" s="590" t="s">
        <v>14</v>
      </c>
      <c r="L8" s="592">
        <v>614107</v>
      </c>
      <c r="M8" s="593">
        <f t="shared" si="0"/>
        <v>0.00842607920291101</v>
      </c>
      <c r="N8" s="594"/>
    </row>
    <row r="9" spans="2:14">
      <c r="B9" s="574">
        <v>6</v>
      </c>
      <c r="C9" s="575" t="s">
        <v>25</v>
      </c>
      <c r="D9" s="577">
        <v>1067</v>
      </c>
      <c r="E9" s="577" t="s">
        <v>26</v>
      </c>
      <c r="H9" s="578">
        <v>6</v>
      </c>
      <c r="I9" s="590" t="s">
        <v>27</v>
      </c>
      <c r="J9" s="591">
        <f>销售收入!G18</f>
        <v>780710.11</v>
      </c>
      <c r="K9" s="590" t="s">
        <v>14</v>
      </c>
      <c r="L9" s="592">
        <v>780710</v>
      </c>
      <c r="M9" s="593">
        <f t="shared" si="0"/>
        <v>1.40897388256882e-7</v>
      </c>
      <c r="N9" s="594"/>
    </row>
    <row r="10" spans="2:14">
      <c r="B10" s="574">
        <v>7</v>
      </c>
      <c r="C10" s="575" t="s">
        <v>28</v>
      </c>
      <c r="D10" s="579">
        <v>0.049</v>
      </c>
      <c r="E10" s="577"/>
      <c r="H10" s="578">
        <v>7</v>
      </c>
      <c r="I10" s="590" t="s">
        <v>29</v>
      </c>
      <c r="J10" s="591">
        <f>总成本!B34</f>
        <v>530182.532612787</v>
      </c>
      <c r="K10" s="590" t="s">
        <v>14</v>
      </c>
      <c r="L10" s="592">
        <v>538178</v>
      </c>
      <c r="M10" s="593">
        <f t="shared" si="0"/>
        <v>-0.0148565481814811</v>
      </c>
      <c r="N10" s="594"/>
    </row>
    <row r="11" spans="2:14">
      <c r="B11" s="574">
        <v>8</v>
      </c>
      <c r="C11" s="575" t="s">
        <v>30</v>
      </c>
      <c r="D11" s="579">
        <v>0.0435</v>
      </c>
      <c r="E11" s="577"/>
      <c r="H11" s="578">
        <v>8</v>
      </c>
      <c r="I11" s="590" t="s">
        <v>31</v>
      </c>
      <c r="J11" s="591">
        <f>' 损益表'!B31</f>
        <v>168177.380112044</v>
      </c>
      <c r="K11" s="590" t="s">
        <v>14</v>
      </c>
      <c r="L11" s="592">
        <v>165766</v>
      </c>
      <c r="M11" s="593">
        <f t="shared" si="0"/>
        <v>0.0145468920770508</v>
      </c>
      <c r="N11" s="594"/>
    </row>
    <row r="12" spans="2:14">
      <c r="B12" s="574">
        <v>9</v>
      </c>
      <c r="C12" s="575" t="s">
        <v>32</v>
      </c>
      <c r="D12" s="577">
        <v>6.56</v>
      </c>
      <c r="E12" s="577"/>
      <c r="H12" s="578">
        <v>9</v>
      </c>
      <c r="I12" s="590" t="s">
        <v>33</v>
      </c>
      <c r="J12" s="591">
        <f>销售税金!C5</f>
        <v>0</v>
      </c>
      <c r="K12" s="590" t="s">
        <v>14</v>
      </c>
      <c r="L12" s="592">
        <v>44199</v>
      </c>
      <c r="M12" s="595">
        <f t="shared" si="0"/>
        <v>-1</v>
      </c>
      <c r="N12" s="594"/>
    </row>
    <row r="13" spans="2:14">
      <c r="B13" s="574">
        <v>10</v>
      </c>
      <c r="C13" s="575" t="s">
        <v>34</v>
      </c>
      <c r="D13" s="580">
        <v>0.3</v>
      </c>
      <c r="E13" s="577"/>
      <c r="H13" s="578">
        <v>10</v>
      </c>
      <c r="I13" s="590" t="s">
        <v>35</v>
      </c>
      <c r="J13" s="591">
        <f>' 损益表'!B35</f>
        <v>42044.3450280111</v>
      </c>
      <c r="K13" s="590" t="s">
        <v>14</v>
      </c>
      <c r="L13" s="592">
        <v>41442</v>
      </c>
      <c r="M13" s="593">
        <f t="shared" si="0"/>
        <v>0.0145346515132257</v>
      </c>
      <c r="N13" s="594"/>
    </row>
    <row r="14" spans="2:14">
      <c r="B14" s="574">
        <v>11</v>
      </c>
      <c r="C14" s="575" t="s">
        <v>36</v>
      </c>
      <c r="D14" s="580">
        <v>0.25</v>
      </c>
      <c r="E14" s="577"/>
      <c r="H14" s="578">
        <v>11</v>
      </c>
      <c r="I14" s="590" t="s">
        <v>37</v>
      </c>
      <c r="J14" s="591">
        <f>' 损益表'!B39</f>
        <v>126133.035084033</v>
      </c>
      <c r="K14" s="590" t="s">
        <v>14</v>
      </c>
      <c r="L14" s="592">
        <v>124325</v>
      </c>
      <c r="M14" s="593">
        <f t="shared" si="0"/>
        <v>0.0145428118562906</v>
      </c>
      <c r="N14" s="594"/>
    </row>
    <row r="15" spans="2:14">
      <c r="B15" s="574">
        <v>12</v>
      </c>
      <c r="C15" s="575" t="s">
        <v>38</v>
      </c>
      <c r="D15" s="580">
        <v>0.02</v>
      </c>
      <c r="E15" s="577"/>
      <c r="H15" s="578">
        <v>12</v>
      </c>
      <c r="I15" s="590" t="s">
        <v>39</v>
      </c>
      <c r="J15" s="596">
        <f>项目投资现金流量!D28</f>
        <v>0.112532628200241</v>
      </c>
      <c r="K15" s="590"/>
      <c r="L15" s="597">
        <v>0.1146</v>
      </c>
      <c r="M15" s="593">
        <f t="shared" si="0"/>
        <v>-0.0180398935406543</v>
      </c>
      <c r="N15" s="594"/>
    </row>
    <row r="16" spans="2:14">
      <c r="B16" s="574">
        <v>13</v>
      </c>
      <c r="C16" s="575" t="s">
        <v>40</v>
      </c>
      <c r="D16" s="580">
        <v>0.03</v>
      </c>
      <c r="E16" s="577"/>
      <c r="H16" s="578">
        <v>13</v>
      </c>
      <c r="I16" s="590" t="s">
        <v>41</v>
      </c>
      <c r="J16" s="596">
        <f>项目投资现金流量!E28</f>
        <v>0.0877929623133864</v>
      </c>
      <c r="K16" s="590"/>
      <c r="L16" s="597">
        <v>0.0918</v>
      </c>
      <c r="M16" s="595">
        <f t="shared" si="0"/>
        <v>-0.0436496480023268</v>
      </c>
      <c r="N16" s="594"/>
    </row>
    <row r="17" spans="2:14">
      <c r="B17" s="574">
        <v>14</v>
      </c>
      <c r="C17" s="581" t="s">
        <v>42</v>
      </c>
      <c r="D17" s="582">
        <v>1411.2</v>
      </c>
      <c r="E17" s="582" t="s">
        <v>12</v>
      </c>
      <c r="H17" s="578">
        <v>14</v>
      </c>
      <c r="I17" s="590" t="s">
        <v>43</v>
      </c>
      <c r="J17" s="591">
        <f>项目投资现金流量!D27</f>
        <v>28031.5162743703</v>
      </c>
      <c r="K17" s="590" t="s">
        <v>14</v>
      </c>
      <c r="L17" s="592">
        <v>50883</v>
      </c>
      <c r="M17" s="593">
        <f t="shared" si="0"/>
        <v>-0.449098593353963</v>
      </c>
      <c r="N17" s="594"/>
    </row>
    <row r="18" spans="2:14">
      <c r="B18" s="574">
        <v>15</v>
      </c>
      <c r="C18" s="581" t="s">
        <v>44</v>
      </c>
      <c r="D18" s="582">
        <v>2105.2</v>
      </c>
      <c r="E18" s="582" t="s">
        <v>12</v>
      </c>
      <c r="H18" s="578">
        <v>15</v>
      </c>
      <c r="I18" s="590" t="s">
        <v>45</v>
      </c>
      <c r="J18" s="591">
        <f>项目投资现金流量!E27</f>
        <v>102024.891451596</v>
      </c>
      <c r="K18" s="590" t="s">
        <v>14</v>
      </c>
      <c r="L18" s="592">
        <v>155827</v>
      </c>
      <c r="M18" s="593">
        <f t="shared" si="0"/>
        <v>-0.345268204793803</v>
      </c>
      <c r="N18" s="594"/>
    </row>
    <row r="19" spans="2:14">
      <c r="B19" s="574">
        <v>16</v>
      </c>
      <c r="C19" s="575" t="s">
        <v>46</v>
      </c>
      <c r="D19" s="577">
        <v>15</v>
      </c>
      <c r="E19" s="577" t="s">
        <v>47</v>
      </c>
      <c r="H19" s="578">
        <v>16</v>
      </c>
      <c r="I19" s="590" t="s">
        <v>48</v>
      </c>
      <c r="J19" s="598">
        <f>项目投资现金流量!D29</f>
        <v>9.22597798410317</v>
      </c>
      <c r="K19" s="590" t="s">
        <v>47</v>
      </c>
      <c r="L19" s="592">
        <v>9.7</v>
      </c>
      <c r="M19" s="593">
        <f t="shared" si="0"/>
        <v>-0.0488682490615293</v>
      </c>
      <c r="N19" s="594"/>
    </row>
    <row r="20" spans="2:14">
      <c r="B20" s="574">
        <v>17</v>
      </c>
      <c r="C20" s="575" t="s">
        <v>49</v>
      </c>
      <c r="D20" s="577">
        <v>10</v>
      </c>
      <c r="E20" s="577" t="s">
        <v>47</v>
      </c>
      <c r="H20" s="578">
        <v>17</v>
      </c>
      <c r="I20" s="590" t="s">
        <v>50</v>
      </c>
      <c r="J20" s="598">
        <f>项目投资现金流量!E29</f>
        <v>9.95125874213143</v>
      </c>
      <c r="K20" s="590" t="s">
        <v>47</v>
      </c>
      <c r="L20" s="592">
        <v>10.8</v>
      </c>
      <c r="M20" s="593">
        <f t="shared" si="0"/>
        <v>-0.0785871535063495</v>
      </c>
      <c r="N20" s="594"/>
    </row>
    <row r="21" spans="2:14">
      <c r="B21" s="574">
        <v>18</v>
      </c>
      <c r="C21" s="575" t="s">
        <v>51</v>
      </c>
      <c r="D21" s="577">
        <v>5</v>
      </c>
      <c r="E21" s="577" t="s">
        <v>47</v>
      </c>
      <c r="H21" s="578">
        <v>18</v>
      </c>
      <c r="I21" s="590" t="s">
        <v>52</v>
      </c>
      <c r="J21" s="599">
        <f>项目资本金现金流量表!E20</f>
        <v>0.121120791814895</v>
      </c>
      <c r="K21" s="590"/>
      <c r="L21" s="593">
        <v>0.1258</v>
      </c>
      <c r="M21" s="593">
        <f t="shared" si="0"/>
        <v>-0.0371956135540947</v>
      </c>
      <c r="N21" s="594"/>
    </row>
    <row r="22" spans="2:14">
      <c r="B22" s="574">
        <v>19</v>
      </c>
      <c r="C22" s="575" t="s">
        <v>53</v>
      </c>
      <c r="D22" s="577">
        <v>3</v>
      </c>
      <c r="E22" s="577" t="s">
        <v>47</v>
      </c>
      <c r="H22" s="578">
        <v>19</v>
      </c>
      <c r="I22" s="590" t="s">
        <v>54</v>
      </c>
      <c r="J22" s="591">
        <f>建设投资!I8</f>
        <v>1967895.67603709</v>
      </c>
      <c r="K22" s="590" t="s">
        <v>14</v>
      </c>
      <c r="L22" s="592">
        <v>1972371</v>
      </c>
      <c r="M22" s="593">
        <f t="shared" si="0"/>
        <v>-0.00226900718115988</v>
      </c>
      <c r="N22" s="594"/>
    </row>
    <row r="23" spans="2:13">
      <c r="B23" s="574">
        <v>20</v>
      </c>
      <c r="C23" s="575" t="s">
        <v>55</v>
      </c>
      <c r="D23" s="583" t="s">
        <v>56</v>
      </c>
      <c r="E23" s="577"/>
      <c r="H23" s="578">
        <v>20</v>
      </c>
      <c r="I23" s="590" t="s">
        <v>57</v>
      </c>
      <c r="J23" s="600">
        <f>经营成本!G35</f>
        <v>403601.625471779</v>
      </c>
      <c r="K23" s="590" t="s">
        <v>14</v>
      </c>
      <c r="L23" s="592">
        <v>402947</v>
      </c>
      <c r="M23" s="593">
        <f t="shared" si="0"/>
        <v>0.0016245944796184</v>
      </c>
    </row>
    <row r="24" spans="1:11">
      <c r="A24" s="267"/>
      <c r="B24" s="574">
        <v>21</v>
      </c>
      <c r="C24" s="575" t="s">
        <v>58</v>
      </c>
      <c r="D24" s="577">
        <v>10</v>
      </c>
      <c r="E24" s="577" t="s">
        <v>47</v>
      </c>
      <c r="F24" s="267"/>
      <c r="H24" s="584"/>
      <c r="I24" s="266"/>
      <c r="J24" s="266"/>
      <c r="K24" s="266"/>
    </row>
    <row r="25" spans="1:11">
      <c r="A25" s="267"/>
      <c r="B25" s="574">
        <v>22</v>
      </c>
      <c r="C25" s="575" t="s">
        <v>59</v>
      </c>
      <c r="D25" s="577" t="s">
        <v>60</v>
      </c>
      <c r="E25" s="577"/>
      <c r="F25" s="267"/>
      <c r="H25" s="584"/>
      <c r="I25" s="266"/>
      <c r="J25" s="266"/>
      <c r="K25" s="266"/>
    </row>
    <row r="26" spans="1:11">
      <c r="A26" s="267"/>
      <c r="B26" s="574">
        <v>23</v>
      </c>
      <c r="C26" s="575" t="s">
        <v>61</v>
      </c>
      <c r="D26" s="580">
        <v>0.8</v>
      </c>
      <c r="E26" s="577"/>
      <c r="F26" s="267"/>
      <c r="H26" s="584"/>
      <c r="I26" s="266"/>
      <c r="J26" s="266"/>
      <c r="K26" s="266"/>
    </row>
    <row r="27" spans="2:8">
      <c r="B27" s="574">
        <v>24</v>
      </c>
      <c r="C27" s="575" t="s">
        <v>62</v>
      </c>
      <c r="D27" s="585">
        <v>5</v>
      </c>
      <c r="E27" s="577" t="s">
        <v>47</v>
      </c>
      <c r="H27" s="584"/>
    </row>
    <row r="28" spans="2:5">
      <c r="B28" s="584"/>
      <c r="C28" s="266"/>
      <c r="D28" s="266"/>
      <c r="E28" s="266"/>
    </row>
    <row r="29" spans="2:5">
      <c r="B29" s="584"/>
      <c r="C29" s="266"/>
      <c r="D29" s="266"/>
      <c r="E29" s="266"/>
    </row>
  </sheetData>
  <mergeCells count="2">
    <mergeCell ref="B1:E2"/>
    <mergeCell ref="H1:K2"/>
  </mergeCells>
  <hyperlinks>
    <hyperlink ref="O3" location="敏感性分析!A1" display="到敏感性分析表"/>
  </hyperlink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92D050"/>
  </sheetPr>
  <dimension ref="A1:N40"/>
  <sheetViews>
    <sheetView showZeros="0" workbookViewId="0">
      <pane xSplit="14" ySplit="6" topLeftCell="O13" activePane="bottomRight" state="frozen"/>
      <selection/>
      <selection pane="topRight"/>
      <selection pane="bottomLeft"/>
      <selection pane="bottomRight" activeCell="E15" sqref="E15:G15"/>
    </sheetView>
  </sheetViews>
  <sheetFormatPr defaultColWidth="9" defaultRowHeight="14"/>
  <cols>
    <col min="3" max="3" width="30.5" customWidth="1"/>
    <col min="9" max="11" width="10.6272727272727" customWidth="1"/>
  </cols>
  <sheetData>
    <row r="1" ht="30" spans="1:14">
      <c r="A1" s="448" t="s">
        <v>63</v>
      </c>
      <c r="B1" s="449"/>
      <c r="C1" s="450"/>
      <c r="D1" s="451" t="s">
        <v>64</v>
      </c>
      <c r="E1" s="452"/>
      <c r="F1" s="452"/>
      <c r="G1" s="452"/>
      <c r="H1" s="452"/>
      <c r="I1" s="452"/>
      <c r="J1" s="521" t="s">
        <v>65</v>
      </c>
      <c r="K1" s="458" t="s">
        <v>66</v>
      </c>
      <c r="L1" s="522"/>
      <c r="M1" s="459"/>
      <c r="N1" s="523"/>
    </row>
    <row r="2" ht="17.5" spans="1:14">
      <c r="A2" s="453"/>
      <c r="B2" s="454"/>
      <c r="C2" s="455"/>
      <c r="D2" s="456"/>
      <c r="E2" s="457"/>
      <c r="F2" s="457"/>
      <c r="G2" s="457"/>
      <c r="H2" s="457"/>
      <c r="I2" s="457"/>
      <c r="J2" s="524">
        <v>1</v>
      </c>
      <c r="K2" s="458" t="s">
        <v>67</v>
      </c>
      <c r="L2" s="522"/>
      <c r="M2" s="525"/>
      <c r="N2" s="526"/>
    </row>
    <row r="3" spans="1:14">
      <c r="A3" s="453"/>
      <c r="B3" s="454"/>
      <c r="C3" s="455"/>
      <c r="D3" s="458" t="s">
        <v>68</v>
      </c>
      <c r="E3" s="459"/>
      <c r="F3" s="459"/>
      <c r="G3" s="459"/>
      <c r="H3" s="459"/>
      <c r="I3" s="523"/>
      <c r="J3" s="459"/>
      <c r="K3" s="522" t="s">
        <v>69</v>
      </c>
      <c r="L3" s="522"/>
      <c r="M3" s="525"/>
      <c r="N3" s="526"/>
    </row>
    <row r="4" spans="1:14">
      <c r="A4" s="460"/>
      <c r="B4" s="461" t="s">
        <v>70</v>
      </c>
      <c r="C4" s="461" t="s">
        <v>71</v>
      </c>
      <c r="D4" s="462" t="s">
        <v>72</v>
      </c>
      <c r="E4" s="463" t="s">
        <v>73</v>
      </c>
      <c r="F4" s="464"/>
      <c r="G4" s="464"/>
      <c r="H4" s="464"/>
      <c r="I4" s="527"/>
      <c r="J4" s="528"/>
      <c r="K4" s="462" t="s">
        <v>74</v>
      </c>
      <c r="L4" s="468" t="s">
        <v>75</v>
      </c>
      <c r="M4" s="468" t="s">
        <v>76</v>
      </c>
      <c r="N4" s="468" t="s">
        <v>77</v>
      </c>
    </row>
    <row r="5" spans="1:14">
      <c r="A5" s="465"/>
      <c r="B5" s="466"/>
      <c r="C5" s="466"/>
      <c r="D5" s="467"/>
      <c r="E5" s="468" t="s">
        <v>78</v>
      </c>
      <c r="F5" s="468" t="s">
        <v>79</v>
      </c>
      <c r="G5" s="468" t="s">
        <v>80</v>
      </c>
      <c r="H5" s="468" t="s">
        <v>81</v>
      </c>
      <c r="I5" s="468" t="s">
        <v>82</v>
      </c>
      <c r="J5" s="529"/>
      <c r="K5" s="467"/>
      <c r="L5" s="471"/>
      <c r="M5" s="471"/>
      <c r="N5" s="471"/>
    </row>
    <row r="6" spans="1:14">
      <c r="A6" s="465"/>
      <c r="B6" s="469"/>
      <c r="C6" s="469"/>
      <c r="D6" s="470"/>
      <c r="E6" s="471"/>
      <c r="F6" s="471"/>
      <c r="G6" s="471"/>
      <c r="H6" s="471"/>
      <c r="I6" s="471"/>
      <c r="J6" s="530" t="s">
        <v>83</v>
      </c>
      <c r="K6" s="470"/>
      <c r="L6" s="471"/>
      <c r="M6" s="471"/>
      <c r="N6" s="471"/>
    </row>
    <row r="7" ht="18" customHeight="1" spans="1:14">
      <c r="A7" s="472"/>
      <c r="B7" s="472"/>
      <c r="C7" s="473" t="s">
        <v>84</v>
      </c>
      <c r="D7" s="474"/>
      <c r="E7" s="474"/>
      <c r="F7" s="474"/>
      <c r="G7" s="474"/>
      <c r="H7" s="474"/>
      <c r="I7" s="477">
        <f>E14/(1+17%)*17%</f>
        <v>129526.196581197</v>
      </c>
      <c r="J7" s="474"/>
      <c r="K7" s="531"/>
      <c r="L7" s="532"/>
      <c r="M7" s="531"/>
      <c r="N7" s="531"/>
    </row>
    <row r="8" ht="20.25" customHeight="1" spans="1:14">
      <c r="A8" s="472"/>
      <c r="B8" s="472"/>
      <c r="C8" s="475" t="s">
        <v>54</v>
      </c>
      <c r="D8" s="474"/>
      <c r="E8" s="474"/>
      <c r="F8" s="474"/>
      <c r="G8" s="474"/>
      <c r="H8" s="474"/>
      <c r="I8" s="533">
        <f>I14-I7-I9-I10+I13</f>
        <v>1967895.67603709</v>
      </c>
      <c r="J8" s="474"/>
      <c r="K8" s="531"/>
      <c r="L8" s="532"/>
      <c r="M8" s="531"/>
      <c r="N8" s="531"/>
    </row>
    <row r="9" spans="1:14">
      <c r="A9" s="472"/>
      <c r="B9" s="472"/>
      <c r="C9" s="473" t="s">
        <v>85</v>
      </c>
      <c r="D9" s="474"/>
      <c r="E9" s="476"/>
      <c r="F9" s="476"/>
      <c r="G9" s="476"/>
      <c r="H9" s="476"/>
      <c r="I9" s="534">
        <f>I18</f>
        <v>34660</v>
      </c>
      <c r="J9" s="477"/>
      <c r="K9" s="531"/>
      <c r="L9" s="532"/>
      <c r="M9" s="531"/>
      <c r="N9" s="531" t="s">
        <v>86</v>
      </c>
    </row>
    <row r="10" spans="1:14">
      <c r="A10" s="472"/>
      <c r="B10" s="472"/>
      <c r="C10" s="473" t="s">
        <v>87</v>
      </c>
      <c r="D10" s="477" t="e">
        <f>建设投资!E26+——</f>
        <v>#NAME?</v>
      </c>
      <c r="E10" s="476"/>
      <c r="F10" s="476"/>
      <c r="G10" s="476"/>
      <c r="H10" s="476"/>
      <c r="I10" s="534">
        <f>I19</f>
        <v>8299</v>
      </c>
      <c r="J10" s="535"/>
      <c r="K10" s="531"/>
      <c r="L10" s="532"/>
      <c r="M10" s="531"/>
      <c r="N10" s="531" t="s">
        <v>88</v>
      </c>
    </row>
    <row r="11" ht="18" customHeight="1" spans="1:14">
      <c r="A11" s="472"/>
      <c r="B11" s="472"/>
      <c r="C11" s="475" t="s">
        <v>89</v>
      </c>
      <c r="D11" s="478"/>
      <c r="E11" s="476"/>
      <c r="F11" s="476"/>
      <c r="G11" s="476"/>
      <c r="H11" s="476"/>
      <c r="I11" s="534">
        <f>I14+I13+I12</f>
        <v>2157629.58668849</v>
      </c>
      <c r="J11" s="536">
        <v>2161823</v>
      </c>
      <c r="K11" s="537"/>
      <c r="L11" s="538"/>
      <c r="M11" s="537"/>
      <c r="N11" s="537"/>
    </row>
    <row r="12" spans="1:14">
      <c r="A12" s="479"/>
      <c r="B12" s="472"/>
      <c r="C12" s="473" t="s">
        <v>21</v>
      </c>
      <c r="D12" s="474"/>
      <c r="E12" s="480"/>
      <c r="F12" s="480"/>
      <c r="G12" s="480"/>
      <c r="H12" s="480">
        <v>16967</v>
      </c>
      <c r="I12" s="539">
        <f>D38</f>
        <v>17248.7140702064</v>
      </c>
      <c r="J12" s="540">
        <v>16967</v>
      </c>
      <c r="K12" s="541"/>
      <c r="L12" s="542"/>
      <c r="M12" s="543"/>
      <c r="N12" s="543"/>
    </row>
    <row r="13" spans="1:14">
      <c r="A13" s="479"/>
      <c r="B13" s="472"/>
      <c r="C13" s="473" t="s">
        <v>19</v>
      </c>
      <c r="D13" s="474"/>
      <c r="E13" s="480"/>
      <c r="F13" s="480"/>
      <c r="G13" s="480"/>
      <c r="H13" s="480">
        <v>97833</v>
      </c>
      <c r="I13" s="539">
        <f>D37</f>
        <v>93357.8726182849</v>
      </c>
      <c r="J13" s="544">
        <v>97833</v>
      </c>
      <c r="K13" s="537"/>
      <c r="L13" s="542"/>
      <c r="M13" s="543"/>
      <c r="N13" s="543"/>
    </row>
    <row r="14" ht="21.75" customHeight="1" spans="1:14">
      <c r="A14" s="481" t="s">
        <v>90</v>
      </c>
      <c r="B14" s="482"/>
      <c r="C14" s="483" t="s">
        <v>91</v>
      </c>
      <c r="D14" s="484"/>
      <c r="E14" s="485">
        <f>891445*J2</f>
        <v>891445</v>
      </c>
      <c r="F14" s="485">
        <f>347961*J2</f>
        <v>347961</v>
      </c>
      <c r="G14" s="485">
        <f>404267*J2</f>
        <v>404267</v>
      </c>
      <c r="H14" s="485">
        <v>403350</v>
      </c>
      <c r="I14" s="485">
        <f>2047023*J2</f>
        <v>2047023</v>
      </c>
      <c r="J14" s="545">
        <v>2047023</v>
      </c>
      <c r="K14" s="546">
        <v>0</v>
      </c>
      <c r="L14" s="547"/>
      <c r="M14" s="548"/>
      <c r="N14" s="549"/>
    </row>
    <row r="15" ht="19.5" customHeight="1" spans="1:14">
      <c r="A15" s="486" t="s">
        <v>92</v>
      </c>
      <c r="B15" s="487"/>
      <c r="C15" s="488" t="s">
        <v>93</v>
      </c>
      <c r="D15" s="484"/>
      <c r="E15" s="485">
        <v>878047</v>
      </c>
      <c r="F15" s="485">
        <v>345461</v>
      </c>
      <c r="G15" s="485">
        <v>392453</v>
      </c>
      <c r="H15" s="489">
        <v>211929</v>
      </c>
      <c r="I15" s="489">
        <v>1827889</v>
      </c>
      <c r="J15" s="550"/>
      <c r="K15" s="546">
        <v>0</v>
      </c>
      <c r="L15" s="546"/>
      <c r="M15" s="546"/>
      <c r="N15" s="551"/>
    </row>
    <row r="16" ht="18.75" customHeight="1" spans="1:14">
      <c r="A16" s="490" t="s">
        <v>94</v>
      </c>
      <c r="B16" s="491"/>
      <c r="C16" s="492" t="s">
        <v>95</v>
      </c>
      <c r="D16" s="491"/>
      <c r="E16" s="493">
        <v>878047</v>
      </c>
      <c r="F16" s="493">
        <v>345461</v>
      </c>
      <c r="G16" s="493">
        <v>392453</v>
      </c>
      <c r="H16" s="493">
        <v>0</v>
      </c>
      <c r="I16" s="493">
        <v>1615961</v>
      </c>
      <c r="J16" s="552"/>
      <c r="K16" s="546">
        <v>0</v>
      </c>
      <c r="L16" s="546"/>
      <c r="M16" s="546"/>
      <c r="N16" s="546">
        <v>0</v>
      </c>
    </row>
    <row r="17" ht="16.5" customHeight="1" spans="1:14">
      <c r="A17" s="490" t="s">
        <v>96</v>
      </c>
      <c r="B17" s="494"/>
      <c r="C17" s="495" t="s">
        <v>97</v>
      </c>
      <c r="D17" s="496"/>
      <c r="E17" s="497">
        <v>0</v>
      </c>
      <c r="F17" s="497">
        <v>0</v>
      </c>
      <c r="G17" s="497">
        <v>0</v>
      </c>
      <c r="H17" s="497">
        <v>211929</v>
      </c>
      <c r="I17" s="497">
        <v>211929</v>
      </c>
      <c r="J17" s="553"/>
      <c r="K17" s="554">
        <v>0</v>
      </c>
      <c r="L17" s="554"/>
      <c r="M17" s="554"/>
      <c r="N17" s="555"/>
    </row>
    <row r="18" spans="1:14">
      <c r="A18" s="486" t="s">
        <v>98</v>
      </c>
      <c r="B18" s="487"/>
      <c r="C18" s="498" t="s">
        <v>99</v>
      </c>
      <c r="D18" s="499"/>
      <c r="E18" s="500">
        <v>0</v>
      </c>
      <c r="F18" s="500">
        <v>0</v>
      </c>
      <c r="G18" s="500">
        <v>0</v>
      </c>
      <c r="H18" s="500">
        <v>34660</v>
      </c>
      <c r="I18" s="556">
        <f t="shared" ref="I18:I23" si="0">SUM(E18:H18)</f>
        <v>34660</v>
      </c>
      <c r="J18" s="557"/>
      <c r="K18" s="558">
        <v>0</v>
      </c>
      <c r="L18" s="558"/>
      <c r="M18" s="558"/>
      <c r="N18" s="559"/>
    </row>
    <row r="19" spans="1:14">
      <c r="A19" s="486" t="s">
        <v>100</v>
      </c>
      <c r="B19" s="501"/>
      <c r="C19" s="498" t="s">
        <v>101</v>
      </c>
      <c r="D19" s="502"/>
      <c r="E19" s="503">
        <v>0</v>
      </c>
      <c r="F19" s="503">
        <v>0</v>
      </c>
      <c r="G19" s="503">
        <v>0</v>
      </c>
      <c r="H19" s="503">
        <v>8299</v>
      </c>
      <c r="I19" s="556">
        <f t="shared" si="0"/>
        <v>8299</v>
      </c>
      <c r="J19" s="557"/>
      <c r="K19" s="560">
        <v>0</v>
      </c>
      <c r="L19" s="560"/>
      <c r="M19" s="554"/>
      <c r="N19" s="555">
        <v>0</v>
      </c>
    </row>
    <row r="20" spans="1:14">
      <c r="A20" s="486" t="s">
        <v>102</v>
      </c>
      <c r="B20" s="501"/>
      <c r="C20" s="498" t="s">
        <v>103</v>
      </c>
      <c r="D20" s="502"/>
      <c r="E20" s="503">
        <v>0</v>
      </c>
      <c r="F20" s="503">
        <v>0</v>
      </c>
      <c r="G20" s="503">
        <v>0</v>
      </c>
      <c r="H20" s="503"/>
      <c r="I20" s="561">
        <v>142275</v>
      </c>
      <c r="J20" s="557"/>
      <c r="K20" s="562"/>
      <c r="L20" s="554"/>
      <c r="M20" s="554"/>
      <c r="N20" s="555">
        <v>0</v>
      </c>
    </row>
    <row r="21" spans="1:14">
      <c r="A21" s="486" t="s">
        <v>104</v>
      </c>
      <c r="B21" s="501"/>
      <c r="C21" s="498" t="s">
        <v>105</v>
      </c>
      <c r="D21" s="504"/>
      <c r="E21" s="503">
        <v>2026</v>
      </c>
      <c r="F21" s="503">
        <v>1389</v>
      </c>
      <c r="G21" s="503">
        <v>5472</v>
      </c>
      <c r="H21" s="503">
        <v>3436</v>
      </c>
      <c r="I21" s="556">
        <f t="shared" si="0"/>
        <v>12323</v>
      </c>
      <c r="J21" s="563"/>
      <c r="K21" s="564"/>
      <c r="L21" s="564"/>
      <c r="M21" s="565"/>
      <c r="N21" s="566" t="s">
        <v>106</v>
      </c>
    </row>
    <row r="22" spans="1:14">
      <c r="A22" s="486" t="s">
        <v>107</v>
      </c>
      <c r="B22" s="501"/>
      <c r="C22" s="498" t="s">
        <v>108</v>
      </c>
      <c r="D22" s="504" t="s">
        <v>109</v>
      </c>
      <c r="E22" s="503">
        <v>11372</v>
      </c>
      <c r="F22" s="503">
        <v>1112</v>
      </c>
      <c r="G22" s="503">
        <v>6342</v>
      </c>
      <c r="H22" s="503">
        <v>2752</v>
      </c>
      <c r="I22" s="556">
        <v>21577</v>
      </c>
      <c r="J22" s="563"/>
      <c r="K22" s="564"/>
      <c r="L22" s="564"/>
      <c r="M22" s="565"/>
      <c r="N22" s="566" t="s">
        <v>110</v>
      </c>
    </row>
    <row r="23" spans="1:14">
      <c r="A23" s="505" t="s">
        <v>111</v>
      </c>
      <c r="B23" s="506"/>
      <c r="C23" s="507" t="s">
        <v>112</v>
      </c>
      <c r="D23" s="506" t="s">
        <v>113</v>
      </c>
      <c r="E23" s="508">
        <v>0</v>
      </c>
      <c r="F23" s="508">
        <v>0</v>
      </c>
      <c r="G23" s="508">
        <v>0</v>
      </c>
      <c r="H23" s="508">
        <v>0</v>
      </c>
      <c r="I23" s="567">
        <f t="shared" si="0"/>
        <v>0</v>
      </c>
      <c r="J23" s="568">
        <v>0</v>
      </c>
      <c r="K23" s="564"/>
      <c r="L23" s="564"/>
      <c r="M23" s="565"/>
      <c r="N23" s="566" t="s">
        <v>114</v>
      </c>
    </row>
    <row r="24" spans="1:14">
      <c r="A24" s="505" t="s">
        <v>115</v>
      </c>
      <c r="B24" s="506"/>
      <c r="C24" s="507" t="s">
        <v>116</v>
      </c>
      <c r="D24" s="509"/>
      <c r="E24" s="508"/>
      <c r="F24" s="508"/>
      <c r="G24" s="508"/>
      <c r="H24" s="508"/>
      <c r="I24" s="567">
        <f t="shared" ref="I24:I25" si="1">SUM(E24:H24)</f>
        <v>0</v>
      </c>
      <c r="J24" s="568">
        <v>0</v>
      </c>
      <c r="K24" s="564"/>
      <c r="L24" s="564"/>
      <c r="M24" s="565"/>
      <c r="N24" s="569"/>
    </row>
    <row r="25" spans="1:14">
      <c r="A25" s="510"/>
      <c r="B25" s="511"/>
      <c r="C25" s="512"/>
      <c r="D25" s="513"/>
      <c r="E25" s="514">
        <v>0.17</v>
      </c>
      <c r="F25" s="514">
        <v>0.11</v>
      </c>
      <c r="G25" s="514">
        <v>0.11</v>
      </c>
      <c r="H25" s="514">
        <v>0.06</v>
      </c>
      <c r="I25" s="570"/>
      <c r="J25" s="568">
        <v>0</v>
      </c>
      <c r="K25" s="564"/>
      <c r="L25" s="564"/>
      <c r="M25" s="565"/>
      <c r="N25" s="569"/>
    </row>
    <row r="26" spans="1:14">
      <c r="A26" s="515"/>
      <c r="B26" s="511"/>
      <c r="C26" s="516" t="s">
        <v>54</v>
      </c>
      <c r="D26" s="513"/>
      <c r="E26" s="517">
        <f>E15/(1+E25)</f>
        <v>750467.521367521</v>
      </c>
      <c r="F26" s="517">
        <f t="shared" ref="F26:H26" si="2">F15/(1+F25)</f>
        <v>311226.126126126</v>
      </c>
      <c r="G26" s="517">
        <f t="shared" si="2"/>
        <v>353561.261261261</v>
      </c>
      <c r="H26" s="517">
        <f t="shared" si="2"/>
        <v>199933.018867925</v>
      </c>
      <c r="I26" s="517"/>
      <c r="J26" s="517"/>
      <c r="K26" s="564"/>
      <c r="L26" s="564"/>
      <c r="M26" s="564"/>
      <c r="N26" s="569"/>
    </row>
    <row r="31" spans="2:5">
      <c r="B31" s="518"/>
      <c r="C31" s="518" t="s">
        <v>91</v>
      </c>
      <c r="D31" s="519">
        <f>I14</f>
        <v>2047023</v>
      </c>
      <c r="E31" s="518"/>
    </row>
    <row r="32" spans="2:5">
      <c r="B32" s="518"/>
      <c r="C32" s="518" t="s">
        <v>84</v>
      </c>
      <c r="D32" s="518">
        <f>E14/(1+17%)*17%</f>
        <v>129526.196581197</v>
      </c>
      <c r="E32" s="518"/>
    </row>
    <row r="33" spans="2:5">
      <c r="B33" s="518"/>
      <c r="C33" s="518" t="s">
        <v>85</v>
      </c>
      <c r="D33" s="520">
        <f>I18</f>
        <v>34660</v>
      </c>
      <c r="E33" s="518"/>
    </row>
    <row r="34" spans="2:5">
      <c r="B34" s="518"/>
      <c r="C34" s="518" t="s">
        <v>87</v>
      </c>
      <c r="D34" s="520">
        <f>J19</f>
        <v>0</v>
      </c>
      <c r="E34" s="518"/>
    </row>
    <row r="35" spans="2:5">
      <c r="B35" s="518"/>
      <c r="C35" s="518" t="s">
        <v>117</v>
      </c>
      <c r="D35" s="518">
        <f>' 资金筹措'!D34</f>
        <v>93357.8726182849</v>
      </c>
      <c r="E35" s="518"/>
    </row>
    <row r="36" ht="17.25" customHeight="1" spans="2:5">
      <c r="B36" s="518"/>
      <c r="C36" s="518" t="s">
        <v>54</v>
      </c>
      <c r="D36" s="519">
        <f>D31-D32-D33-D34+D35</f>
        <v>1976194.67603709</v>
      </c>
      <c r="E36" s="518"/>
    </row>
    <row r="37" spans="2:5">
      <c r="B37" s="518"/>
      <c r="C37" s="518" t="s">
        <v>19</v>
      </c>
      <c r="D37" s="518">
        <f>' 资金筹措'!D8</f>
        <v>93357.8726182849</v>
      </c>
      <c r="E37" s="518"/>
    </row>
    <row r="38" spans="2:5">
      <c r="B38" s="518"/>
      <c r="C38" s="518" t="s">
        <v>21</v>
      </c>
      <c r="D38" s="518">
        <f>流动资金!H25+流动资金!I25</f>
        <v>17248.7140702064</v>
      </c>
      <c r="E38" s="518"/>
    </row>
    <row r="39" spans="2:5">
      <c r="B39" s="518"/>
      <c r="C39" s="518" t="s">
        <v>89</v>
      </c>
      <c r="D39" s="519">
        <f>D31+D37+D38</f>
        <v>2157629.58668849</v>
      </c>
      <c r="E39" s="518"/>
    </row>
    <row r="40" spans="2:5">
      <c r="B40" s="518"/>
      <c r="C40" s="518"/>
      <c r="D40" s="518"/>
      <c r="E40" s="518"/>
    </row>
  </sheetData>
  <mergeCells count="20">
    <mergeCell ref="K1:N1"/>
    <mergeCell ref="K2:N2"/>
    <mergeCell ref="D3:I3"/>
    <mergeCell ref="K3:N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K4:K6"/>
    <mergeCell ref="L4:L6"/>
    <mergeCell ref="M4:M6"/>
    <mergeCell ref="N4:N6"/>
    <mergeCell ref="A1:C3"/>
    <mergeCell ref="D1:I2"/>
  </mergeCells>
  <hyperlinks>
    <hyperlink ref="A1:C3" location="目录!A1" display="返回目录"/>
    <hyperlink ref="D1:I2" location="敏感性分析!A1" display="总  投  资  估  算  表                                                                                         "/>
  </hyperlinks>
  <pageMargins left="0.708661417322835" right="0.708661417322835" top="0.748031496062992" bottom="0.748031496062992" header="0.31496062992126" footer="0.31496062992126"/>
  <pageSetup paperSize="9" orientation="landscape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92D050"/>
  </sheetPr>
  <dimension ref="A1:F15"/>
  <sheetViews>
    <sheetView workbookViewId="0">
      <selection activeCell="C11" sqref="C11"/>
    </sheetView>
  </sheetViews>
  <sheetFormatPr defaultColWidth="9" defaultRowHeight="14" outlineLevelCol="5"/>
  <cols>
    <col min="2" max="2" width="14.7545454545455" customWidth="1"/>
    <col min="3" max="3" width="9.62727272727273" customWidth="1"/>
    <col min="4" max="5" width="8" customWidth="1"/>
    <col min="6" max="6" width="7.75454545454545" customWidth="1"/>
  </cols>
  <sheetData>
    <row r="1" ht="36.75" customHeight="1" spans="1:6">
      <c r="A1" s="1" t="s">
        <v>118</v>
      </c>
      <c r="B1" s="1"/>
      <c r="C1" s="1"/>
      <c r="D1" s="1"/>
      <c r="E1" s="1"/>
      <c r="F1" s="1"/>
    </row>
    <row r="2" ht="18" customHeight="1" spans="1:6">
      <c r="A2" s="443" t="s">
        <v>2</v>
      </c>
      <c r="B2" s="443" t="s">
        <v>119</v>
      </c>
      <c r="C2" s="443" t="s">
        <v>120</v>
      </c>
      <c r="D2" s="443" t="s">
        <v>121</v>
      </c>
      <c r="E2" s="443" t="s">
        <v>122</v>
      </c>
      <c r="F2" s="443" t="s">
        <v>123</v>
      </c>
    </row>
    <row r="3" spans="1:6">
      <c r="A3" s="443"/>
      <c r="B3" s="443"/>
      <c r="C3" s="443" t="s">
        <v>124</v>
      </c>
      <c r="D3" s="443" t="s">
        <v>124</v>
      </c>
      <c r="E3" s="443" t="s">
        <v>124</v>
      </c>
      <c r="F3" s="443" t="s">
        <v>124</v>
      </c>
    </row>
    <row r="4" spans="1:6">
      <c r="A4" s="443"/>
      <c r="B4" s="443" t="s">
        <v>125</v>
      </c>
      <c r="C4" s="443"/>
      <c r="D4" s="444">
        <v>0.2</v>
      </c>
      <c r="E4" s="444">
        <v>0.4</v>
      </c>
      <c r="F4" s="444">
        <v>0.4</v>
      </c>
    </row>
    <row r="5" spans="1:6">
      <c r="A5" s="443">
        <v>1</v>
      </c>
      <c r="B5" s="415" t="s">
        <v>126</v>
      </c>
      <c r="C5" s="445">
        <f>建设投资!I15</f>
        <v>1827889</v>
      </c>
      <c r="D5" s="445">
        <f t="shared" ref="D5:D11" si="0">C5*$D$4</f>
        <v>365577.8</v>
      </c>
      <c r="E5" s="445">
        <f t="shared" ref="E5:E11" si="1">C5*$E$4</f>
        <v>731155.6</v>
      </c>
      <c r="F5" s="445">
        <f t="shared" ref="F5:F11" si="2">$C5*$E$4</f>
        <v>731155.6</v>
      </c>
    </row>
    <row r="6" spans="1:6">
      <c r="A6" s="443">
        <v>2</v>
      </c>
      <c r="B6" s="415" t="s">
        <v>85</v>
      </c>
      <c r="C6" s="445">
        <f>建设投资!I9</f>
        <v>34660</v>
      </c>
      <c r="D6" s="445">
        <f t="shared" si="0"/>
        <v>6932</v>
      </c>
      <c r="E6" s="445">
        <f t="shared" si="1"/>
        <v>13864</v>
      </c>
      <c r="F6" s="445">
        <f t="shared" si="2"/>
        <v>13864</v>
      </c>
    </row>
    <row r="7" spans="1:6">
      <c r="A7" s="443">
        <v>3</v>
      </c>
      <c r="B7" s="415" t="s">
        <v>87</v>
      </c>
      <c r="C7" s="445">
        <f>建设投资!I10</f>
        <v>8299</v>
      </c>
      <c r="D7" s="445">
        <f t="shared" si="0"/>
        <v>1659.8</v>
      </c>
      <c r="E7" s="445">
        <f t="shared" si="1"/>
        <v>3319.6</v>
      </c>
      <c r="F7" s="445">
        <f t="shared" si="2"/>
        <v>3319.6</v>
      </c>
    </row>
    <row r="8" spans="1:6">
      <c r="A8" s="443">
        <v>4</v>
      </c>
      <c r="B8" s="415" t="s">
        <v>103</v>
      </c>
      <c r="C8" s="445">
        <f>建设投资!I20</f>
        <v>142275</v>
      </c>
      <c r="D8" s="445">
        <f t="shared" si="0"/>
        <v>28455</v>
      </c>
      <c r="E8" s="445">
        <f t="shared" si="1"/>
        <v>56910</v>
      </c>
      <c r="F8" s="445">
        <f t="shared" si="2"/>
        <v>56910</v>
      </c>
    </row>
    <row r="9" spans="1:6">
      <c r="A9" s="443">
        <v>5</v>
      </c>
      <c r="B9" s="415" t="s">
        <v>105</v>
      </c>
      <c r="C9" s="445">
        <f>建设投资!I21</f>
        <v>12323</v>
      </c>
      <c r="D9" s="445">
        <f t="shared" si="0"/>
        <v>2464.6</v>
      </c>
      <c r="E9" s="445">
        <f t="shared" si="1"/>
        <v>4929.2</v>
      </c>
      <c r="F9" s="445">
        <f t="shared" si="2"/>
        <v>4929.2</v>
      </c>
    </row>
    <row r="10" spans="1:6">
      <c r="A10" s="443">
        <v>6</v>
      </c>
      <c r="B10" s="415" t="s">
        <v>127</v>
      </c>
      <c r="C10" s="445">
        <f>建设投资!I22</f>
        <v>21577</v>
      </c>
      <c r="D10" s="445">
        <f t="shared" si="0"/>
        <v>4315.4</v>
      </c>
      <c r="E10" s="445">
        <f t="shared" si="1"/>
        <v>8630.8</v>
      </c>
      <c r="F10" s="445">
        <f t="shared" si="2"/>
        <v>8630.8</v>
      </c>
    </row>
    <row r="11" spans="1:6">
      <c r="A11" s="443">
        <v>7</v>
      </c>
      <c r="B11" s="415" t="s">
        <v>128</v>
      </c>
      <c r="C11" s="446">
        <f>建设投资!I14</f>
        <v>2047023</v>
      </c>
      <c r="D11" s="446">
        <f t="shared" si="0"/>
        <v>409404.6</v>
      </c>
      <c r="E11" s="446">
        <f t="shared" si="1"/>
        <v>818809.2</v>
      </c>
      <c r="F11" s="446">
        <f t="shared" si="2"/>
        <v>818809.2</v>
      </c>
    </row>
    <row r="12" spans="1:6">
      <c r="A12" s="443"/>
      <c r="B12" s="415" t="s">
        <v>129</v>
      </c>
      <c r="C12" s="445">
        <f>C11*70%</f>
        <v>1432916.1</v>
      </c>
      <c r="D12" s="445">
        <f>D11*70%</f>
        <v>286583.22</v>
      </c>
      <c r="E12" s="445">
        <f t="shared" ref="E12:F12" si="3">E11*70%</f>
        <v>573166.44</v>
      </c>
      <c r="F12" s="445">
        <f t="shared" si="3"/>
        <v>573166.44</v>
      </c>
    </row>
    <row r="13" spans="1:6">
      <c r="A13" s="443"/>
      <c r="B13" s="415" t="s">
        <v>130</v>
      </c>
      <c r="C13" s="445">
        <f>C11*0.3</f>
        <v>614106.9</v>
      </c>
      <c r="D13" s="445">
        <f>D11*0.3</f>
        <v>122821.38</v>
      </c>
      <c r="E13" s="445">
        <f>E11*0.3</f>
        <v>245642.76</v>
      </c>
      <c r="F13" s="445">
        <f>F11*0.3</f>
        <v>245642.76</v>
      </c>
    </row>
    <row r="14" spans="1:6">
      <c r="A14" s="447"/>
      <c r="B14" s="433" t="s">
        <v>131</v>
      </c>
      <c r="C14" s="447">
        <f>SUM(D14:F14)</f>
        <v>1535840</v>
      </c>
      <c r="D14" s="447">
        <v>307168</v>
      </c>
      <c r="E14" s="447">
        <v>614336</v>
      </c>
      <c r="F14" s="447">
        <v>614336</v>
      </c>
    </row>
    <row r="15" spans="1:6">
      <c r="A15" s="447"/>
      <c r="B15" s="433" t="s">
        <v>132</v>
      </c>
      <c r="C15" s="447">
        <f>SUM(D15:F15)</f>
        <v>97833</v>
      </c>
      <c r="D15" s="447">
        <v>7526</v>
      </c>
      <c r="E15" s="447">
        <v>30102</v>
      </c>
      <c r="F15" s="447">
        <v>60205</v>
      </c>
    </row>
  </sheetData>
  <mergeCells count="1">
    <mergeCell ref="A1:F1"/>
  </mergeCells>
  <hyperlinks>
    <hyperlink ref="A1:F1" location="目录!A1" display="投资使用计划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92D050"/>
  </sheetPr>
  <dimension ref="A1:AC42"/>
  <sheetViews>
    <sheetView workbookViewId="0">
      <pane xSplit="9" ySplit="5" topLeftCell="J21" activePane="bottomRight" state="frozen"/>
      <selection/>
      <selection pane="topRight"/>
      <selection pane="bottomLeft"/>
      <selection pane="bottomRight" activeCell="G28" sqref="G28"/>
    </sheetView>
  </sheetViews>
  <sheetFormatPr defaultColWidth="9" defaultRowHeight="14"/>
  <cols>
    <col min="1" max="1" width="7.87272727272727" customWidth="1"/>
    <col min="2" max="2" width="21.2545454545455" customWidth="1"/>
    <col min="3" max="3" width="8.87272727272727" customWidth="1"/>
    <col min="4" max="4" width="10.6272727272727" customWidth="1"/>
    <col min="5" max="5" width="8.75454545454545" customWidth="1"/>
    <col min="6" max="6" width="4.25454545454545" customWidth="1"/>
    <col min="7" max="7" width="11.3727272727273" customWidth="1"/>
    <col min="8" max="8" width="5.87272727272727" customWidth="1"/>
    <col min="9" max="9" width="9.5" customWidth="1"/>
    <col min="10" max="10" width="4.5" customWidth="1"/>
    <col min="11" max="12" width="4.75454545454545" customWidth="1"/>
    <col min="13" max="13" width="10.5" customWidth="1"/>
    <col min="14" max="14" width="11.6272727272727" customWidth="1"/>
  </cols>
  <sheetData>
    <row r="1" spans="1:12">
      <c r="A1" s="410" t="s">
        <v>57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ht="30" customHeight="1" spans="1:12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2:3">
      <c r="B3" s="411" t="s">
        <v>133</v>
      </c>
      <c r="C3" s="411">
        <v>1</v>
      </c>
    </row>
    <row r="4" ht="5.25" customHeight="1"/>
    <row r="5" ht="48.75" customHeight="1" spans="1:29">
      <c r="A5" s="412" t="s">
        <v>2</v>
      </c>
      <c r="B5" s="412" t="s">
        <v>134</v>
      </c>
      <c r="C5" s="412" t="s">
        <v>135</v>
      </c>
      <c r="D5" s="412" t="s">
        <v>5</v>
      </c>
      <c r="E5" s="412" t="s">
        <v>136</v>
      </c>
      <c r="F5" s="412" t="s">
        <v>5</v>
      </c>
      <c r="G5" s="413" t="s">
        <v>137</v>
      </c>
      <c r="H5" s="413" t="s">
        <v>138</v>
      </c>
      <c r="I5" s="432" t="s">
        <v>139</v>
      </c>
      <c r="J5" s="433" t="s">
        <v>121</v>
      </c>
      <c r="K5" s="433" t="s">
        <v>122</v>
      </c>
      <c r="L5" s="433" t="s">
        <v>123</v>
      </c>
      <c r="M5" s="434" t="s">
        <v>140</v>
      </c>
      <c r="N5" s="434" t="s">
        <v>141</v>
      </c>
      <c r="O5" s="434" t="s">
        <v>142</v>
      </c>
      <c r="P5" s="434" t="s">
        <v>143</v>
      </c>
      <c r="Q5" s="434" t="s">
        <v>144</v>
      </c>
      <c r="R5" s="434" t="s">
        <v>145</v>
      </c>
      <c r="S5" s="434" t="s">
        <v>146</v>
      </c>
      <c r="T5" s="434" t="s">
        <v>147</v>
      </c>
      <c r="U5" s="434" t="s">
        <v>148</v>
      </c>
      <c r="V5" s="434" t="s">
        <v>149</v>
      </c>
      <c r="W5" s="434" t="s">
        <v>150</v>
      </c>
      <c r="X5" s="434" t="s">
        <v>151</v>
      </c>
      <c r="Y5" s="434" t="s">
        <v>152</v>
      </c>
      <c r="Z5" s="434" t="s">
        <v>153</v>
      </c>
      <c r="AA5" s="434" t="s">
        <v>154</v>
      </c>
      <c r="AB5" s="434" t="s">
        <v>155</v>
      </c>
      <c r="AC5" s="434" t="s">
        <v>156</v>
      </c>
    </row>
    <row r="6" s="267" customFormat="1" ht="15" customHeight="1" spans="1:29">
      <c r="A6" s="204"/>
      <c r="B6" s="204"/>
      <c r="C6" s="204"/>
      <c r="D6" s="204"/>
      <c r="E6" s="204"/>
      <c r="F6" s="204"/>
      <c r="G6" s="414"/>
      <c r="H6" s="204"/>
      <c r="I6" s="435"/>
      <c r="J6" s="436"/>
      <c r="K6" s="436"/>
      <c r="L6" s="436"/>
      <c r="M6" s="437">
        <v>0.8</v>
      </c>
      <c r="N6" s="437">
        <v>1</v>
      </c>
      <c r="O6" s="437">
        <v>1</v>
      </c>
      <c r="P6" s="437">
        <v>1</v>
      </c>
      <c r="Q6" s="437">
        <v>1</v>
      </c>
      <c r="R6" s="437">
        <v>1</v>
      </c>
      <c r="S6" s="437">
        <v>1</v>
      </c>
      <c r="T6" s="437">
        <v>1</v>
      </c>
      <c r="U6" s="437">
        <v>1</v>
      </c>
      <c r="V6" s="437">
        <v>1</v>
      </c>
      <c r="W6" s="437">
        <v>1</v>
      </c>
      <c r="X6" s="437">
        <v>1</v>
      </c>
      <c r="Y6" s="437">
        <v>1</v>
      </c>
      <c r="Z6" s="437">
        <v>1</v>
      </c>
      <c r="AA6" s="437">
        <v>1</v>
      </c>
      <c r="AB6" s="437">
        <v>1</v>
      </c>
      <c r="AC6" s="437">
        <v>1</v>
      </c>
    </row>
    <row r="7" spans="1:29">
      <c r="A7" s="161" t="s">
        <v>92</v>
      </c>
      <c r="B7" s="161" t="s">
        <v>157</v>
      </c>
      <c r="C7" s="415"/>
      <c r="D7" s="415"/>
      <c r="E7" s="415"/>
      <c r="F7" s="415"/>
      <c r="G7" s="416">
        <f>G8+G18+G19</f>
        <v>341651.541</v>
      </c>
      <c r="H7" s="415"/>
      <c r="I7" s="415"/>
      <c r="J7" s="438"/>
      <c r="K7" s="438"/>
      <c r="L7" s="438"/>
      <c r="M7" s="439">
        <f t="shared" ref="M7:AC7" si="0">M8+M18+M19</f>
        <v>273321.2328</v>
      </c>
      <c r="N7" s="439">
        <f t="shared" si="0"/>
        <v>341651.541</v>
      </c>
      <c r="O7" s="440">
        <f t="shared" si="0"/>
        <v>341651.541</v>
      </c>
      <c r="P7" s="440">
        <f t="shared" si="0"/>
        <v>341651.541</v>
      </c>
      <c r="Q7" s="440">
        <f t="shared" si="0"/>
        <v>341651.541</v>
      </c>
      <c r="R7" s="440">
        <f t="shared" si="0"/>
        <v>341651.541</v>
      </c>
      <c r="S7" s="440">
        <f t="shared" si="0"/>
        <v>341651.541</v>
      </c>
      <c r="T7" s="440">
        <f t="shared" si="0"/>
        <v>341651.541</v>
      </c>
      <c r="U7" s="440">
        <f t="shared" si="0"/>
        <v>341651.541</v>
      </c>
      <c r="V7" s="440">
        <f t="shared" si="0"/>
        <v>341651.541</v>
      </c>
      <c r="W7" s="440">
        <f t="shared" si="0"/>
        <v>341651.541</v>
      </c>
      <c r="X7" s="440">
        <f t="shared" si="0"/>
        <v>341651.541</v>
      </c>
      <c r="Y7" s="440">
        <f t="shared" si="0"/>
        <v>341651.541</v>
      </c>
      <c r="Z7" s="440">
        <f t="shared" si="0"/>
        <v>341651.541</v>
      </c>
      <c r="AA7" s="440">
        <f t="shared" si="0"/>
        <v>341651.541</v>
      </c>
      <c r="AB7" s="440">
        <f t="shared" si="0"/>
        <v>341651.541</v>
      </c>
      <c r="AC7" s="440">
        <f t="shared" si="0"/>
        <v>341651.541</v>
      </c>
    </row>
    <row r="8" spans="1:29">
      <c r="A8" s="417" t="s">
        <v>158</v>
      </c>
      <c r="B8" s="418" t="s">
        <v>159</v>
      </c>
      <c r="C8" s="415"/>
      <c r="D8" s="415"/>
      <c r="E8" s="415"/>
      <c r="F8" s="415"/>
      <c r="G8" s="416">
        <f>SUM(G9:G12)</f>
        <v>208364.8</v>
      </c>
      <c r="H8" s="415"/>
      <c r="I8" s="415"/>
      <c r="J8" s="438"/>
      <c r="K8" s="438"/>
      <c r="L8" s="438"/>
      <c r="M8" s="439">
        <f>SUM(M9:M12)</f>
        <v>166691.84</v>
      </c>
      <c r="N8" s="439">
        <f t="shared" ref="N8:AC8" si="1">SUM(N9:N12)</f>
        <v>208364.8</v>
      </c>
      <c r="O8" s="439">
        <f t="shared" si="1"/>
        <v>208364.8</v>
      </c>
      <c r="P8" s="439">
        <f t="shared" si="1"/>
        <v>208364.8</v>
      </c>
      <c r="Q8" s="439">
        <f t="shared" si="1"/>
        <v>208364.8</v>
      </c>
      <c r="R8" s="439">
        <f t="shared" si="1"/>
        <v>208364.8</v>
      </c>
      <c r="S8" s="439">
        <f t="shared" si="1"/>
        <v>208364.8</v>
      </c>
      <c r="T8" s="439">
        <f t="shared" si="1"/>
        <v>208364.8</v>
      </c>
      <c r="U8" s="439">
        <f t="shared" si="1"/>
        <v>208364.8</v>
      </c>
      <c r="V8" s="439">
        <f t="shared" si="1"/>
        <v>208364.8</v>
      </c>
      <c r="W8" s="439">
        <f t="shared" si="1"/>
        <v>208364.8</v>
      </c>
      <c r="X8" s="439">
        <f t="shared" si="1"/>
        <v>208364.8</v>
      </c>
      <c r="Y8" s="439">
        <f t="shared" si="1"/>
        <v>208364.8</v>
      </c>
      <c r="Z8" s="439">
        <f t="shared" si="1"/>
        <v>208364.8</v>
      </c>
      <c r="AA8" s="439">
        <f t="shared" si="1"/>
        <v>208364.8</v>
      </c>
      <c r="AB8" s="439">
        <f t="shared" si="1"/>
        <v>208364.8</v>
      </c>
      <c r="AC8" s="439">
        <f t="shared" si="1"/>
        <v>208364.8</v>
      </c>
    </row>
    <row r="9" spans="1:29">
      <c r="A9" s="2">
        <v>1.1</v>
      </c>
      <c r="B9" s="2" t="s">
        <v>160</v>
      </c>
      <c r="C9" s="419">
        <f>主要参数指标汇总表!D5</f>
        <v>225</v>
      </c>
      <c r="D9" s="419" t="s">
        <v>12</v>
      </c>
      <c r="E9" s="419">
        <v>4556000</v>
      </c>
      <c r="F9" s="419" t="s">
        <v>161</v>
      </c>
      <c r="G9" s="420">
        <f>C9*E9/10000</f>
        <v>102510</v>
      </c>
      <c r="H9" s="421">
        <v>0.17</v>
      </c>
      <c r="I9" s="420">
        <f>G9*H9/(1+H9)</f>
        <v>14894.6153846154</v>
      </c>
      <c r="J9" s="438"/>
      <c r="K9" s="438"/>
      <c r="L9" s="438"/>
      <c r="M9" s="439">
        <f>G9*80%</f>
        <v>82008</v>
      </c>
      <c r="N9" s="439">
        <f>$G9</f>
        <v>102510</v>
      </c>
      <c r="O9" s="439">
        <f t="shared" ref="O9:AC9" si="2">$G9</f>
        <v>102510</v>
      </c>
      <c r="P9" s="439">
        <f t="shared" si="2"/>
        <v>102510</v>
      </c>
      <c r="Q9" s="439">
        <f t="shared" si="2"/>
        <v>102510</v>
      </c>
      <c r="R9" s="439">
        <f t="shared" si="2"/>
        <v>102510</v>
      </c>
      <c r="S9" s="439">
        <f t="shared" si="2"/>
        <v>102510</v>
      </c>
      <c r="T9" s="439">
        <f t="shared" si="2"/>
        <v>102510</v>
      </c>
      <c r="U9" s="439">
        <f t="shared" si="2"/>
        <v>102510</v>
      </c>
      <c r="V9" s="439">
        <f t="shared" si="2"/>
        <v>102510</v>
      </c>
      <c r="W9" s="439">
        <f t="shared" si="2"/>
        <v>102510</v>
      </c>
      <c r="X9" s="439">
        <f t="shared" si="2"/>
        <v>102510</v>
      </c>
      <c r="Y9" s="439">
        <f t="shared" si="2"/>
        <v>102510</v>
      </c>
      <c r="Z9" s="439">
        <f t="shared" si="2"/>
        <v>102510</v>
      </c>
      <c r="AA9" s="439">
        <f t="shared" si="2"/>
        <v>102510</v>
      </c>
      <c r="AB9" s="439">
        <f t="shared" si="2"/>
        <v>102510</v>
      </c>
      <c r="AC9" s="439">
        <f t="shared" si="2"/>
        <v>102510</v>
      </c>
    </row>
    <row r="10" spans="1:29">
      <c r="A10" s="2">
        <v>1.2</v>
      </c>
      <c r="B10" s="2" t="s">
        <v>11</v>
      </c>
      <c r="C10" s="419">
        <f>主要参数指标汇总表!D4</f>
        <v>175</v>
      </c>
      <c r="D10" s="419" t="s">
        <v>12</v>
      </c>
      <c r="E10" s="419">
        <v>5170400</v>
      </c>
      <c r="F10" s="419" t="s">
        <v>161</v>
      </c>
      <c r="G10" s="420">
        <f>C10*E10/10000</f>
        <v>90482</v>
      </c>
      <c r="H10" s="421">
        <v>0.17</v>
      </c>
      <c r="I10" s="420">
        <f t="shared" ref="I10:I34" si="3">G10*H10/(1+H10)</f>
        <v>13146.9572649573</v>
      </c>
      <c r="J10" s="438"/>
      <c r="K10" s="438"/>
      <c r="L10" s="438"/>
      <c r="M10" s="439">
        <f t="shared" ref="M10:M26" si="4">G10*80%</f>
        <v>72385.6</v>
      </c>
      <c r="N10" s="439">
        <f t="shared" ref="N10:AC34" si="5">$G10</f>
        <v>90482</v>
      </c>
      <c r="O10" s="440">
        <f t="shared" si="5"/>
        <v>90482</v>
      </c>
      <c r="P10" s="440">
        <f t="shared" si="5"/>
        <v>90482</v>
      </c>
      <c r="Q10" s="440">
        <f t="shared" si="5"/>
        <v>90482</v>
      </c>
      <c r="R10" s="440">
        <f t="shared" si="5"/>
        <v>90482</v>
      </c>
      <c r="S10" s="440">
        <f t="shared" si="5"/>
        <v>90482</v>
      </c>
      <c r="T10" s="440">
        <f t="shared" si="5"/>
        <v>90482</v>
      </c>
      <c r="U10" s="440">
        <f t="shared" si="5"/>
        <v>90482</v>
      </c>
      <c r="V10" s="440">
        <f t="shared" si="5"/>
        <v>90482</v>
      </c>
      <c r="W10" s="440">
        <f t="shared" si="5"/>
        <v>90482</v>
      </c>
      <c r="X10" s="440">
        <f t="shared" si="5"/>
        <v>90482</v>
      </c>
      <c r="Y10" s="440">
        <f t="shared" si="5"/>
        <v>90482</v>
      </c>
      <c r="Z10" s="440">
        <f t="shared" si="5"/>
        <v>90482</v>
      </c>
      <c r="AA10" s="440">
        <f t="shared" si="5"/>
        <v>90482</v>
      </c>
      <c r="AB10" s="440">
        <f t="shared" si="5"/>
        <v>90482</v>
      </c>
      <c r="AC10" s="440">
        <f t="shared" si="5"/>
        <v>90482</v>
      </c>
    </row>
    <row r="11" spans="1:29">
      <c r="A11" s="2">
        <v>1.3</v>
      </c>
      <c r="B11" s="2" t="s">
        <v>162</v>
      </c>
      <c r="C11" s="419">
        <v>14000</v>
      </c>
      <c r="D11" s="419" t="s">
        <v>163</v>
      </c>
      <c r="E11" s="419">
        <v>1</v>
      </c>
      <c r="F11" s="419" t="s">
        <v>164</v>
      </c>
      <c r="G11" s="420">
        <f>C11*E11</f>
        <v>14000</v>
      </c>
      <c r="H11" s="421">
        <v>0.17</v>
      </c>
      <c r="I11" s="420">
        <f t="shared" si="3"/>
        <v>2034.18803418803</v>
      </c>
      <c r="J11" s="438"/>
      <c r="K11" s="438"/>
      <c r="L11" s="438"/>
      <c r="M11" s="439">
        <f t="shared" si="4"/>
        <v>11200</v>
      </c>
      <c r="N11" s="439">
        <f t="shared" si="5"/>
        <v>14000</v>
      </c>
      <c r="O11" s="440">
        <f t="shared" si="5"/>
        <v>14000</v>
      </c>
      <c r="P11" s="440">
        <f t="shared" si="5"/>
        <v>14000</v>
      </c>
      <c r="Q11" s="440">
        <f t="shared" si="5"/>
        <v>14000</v>
      </c>
      <c r="R11" s="440">
        <f t="shared" si="5"/>
        <v>14000</v>
      </c>
      <c r="S11" s="440">
        <f t="shared" si="5"/>
        <v>14000</v>
      </c>
      <c r="T11" s="440">
        <f t="shared" si="5"/>
        <v>14000</v>
      </c>
      <c r="U11" s="440">
        <f t="shared" si="5"/>
        <v>14000</v>
      </c>
      <c r="V11" s="440">
        <f t="shared" si="5"/>
        <v>14000</v>
      </c>
      <c r="W11" s="440">
        <f t="shared" si="5"/>
        <v>14000</v>
      </c>
      <c r="X11" s="440">
        <f t="shared" si="5"/>
        <v>14000</v>
      </c>
      <c r="Y11" s="440">
        <f t="shared" si="5"/>
        <v>14000</v>
      </c>
      <c r="Z11" s="440">
        <f t="shared" si="5"/>
        <v>14000</v>
      </c>
      <c r="AA11" s="440">
        <f t="shared" si="5"/>
        <v>14000</v>
      </c>
      <c r="AB11" s="440">
        <f t="shared" si="5"/>
        <v>14000</v>
      </c>
      <c r="AC11" s="440">
        <f t="shared" si="5"/>
        <v>14000</v>
      </c>
    </row>
    <row r="12" spans="1:29">
      <c r="A12" s="2">
        <v>1.4</v>
      </c>
      <c r="B12" s="2" t="s">
        <v>165</v>
      </c>
      <c r="C12" s="419">
        <v>80</v>
      </c>
      <c r="D12" s="419" t="s">
        <v>12</v>
      </c>
      <c r="E12" s="419">
        <v>171600</v>
      </c>
      <c r="F12" s="419" t="s">
        <v>161</v>
      </c>
      <c r="G12" s="420">
        <f t="shared" ref="G12:G31" si="6">C12*E12/10000</f>
        <v>1372.8</v>
      </c>
      <c r="H12" s="421">
        <v>0.17</v>
      </c>
      <c r="I12" s="420">
        <f t="shared" si="3"/>
        <v>199.466666666667</v>
      </c>
      <c r="J12" s="438"/>
      <c r="K12" s="438"/>
      <c r="L12" s="438"/>
      <c r="M12" s="439">
        <f t="shared" si="4"/>
        <v>1098.24</v>
      </c>
      <c r="N12" s="439">
        <f t="shared" si="5"/>
        <v>1372.8</v>
      </c>
      <c r="O12" s="440">
        <f t="shared" si="5"/>
        <v>1372.8</v>
      </c>
      <c r="P12" s="440">
        <f t="shared" si="5"/>
        <v>1372.8</v>
      </c>
      <c r="Q12" s="440">
        <f t="shared" si="5"/>
        <v>1372.8</v>
      </c>
      <c r="R12" s="440">
        <f t="shared" si="5"/>
        <v>1372.8</v>
      </c>
      <c r="S12" s="440">
        <f t="shared" si="5"/>
        <v>1372.8</v>
      </c>
      <c r="T12" s="440">
        <f t="shared" si="5"/>
        <v>1372.8</v>
      </c>
      <c r="U12" s="440">
        <f t="shared" si="5"/>
        <v>1372.8</v>
      </c>
      <c r="V12" s="440">
        <f t="shared" si="5"/>
        <v>1372.8</v>
      </c>
      <c r="W12" s="440">
        <f t="shared" si="5"/>
        <v>1372.8</v>
      </c>
      <c r="X12" s="440">
        <f t="shared" si="5"/>
        <v>1372.8</v>
      </c>
      <c r="Y12" s="440">
        <f t="shared" si="5"/>
        <v>1372.8</v>
      </c>
      <c r="Z12" s="440">
        <f t="shared" si="5"/>
        <v>1372.8</v>
      </c>
      <c r="AA12" s="440">
        <f t="shared" si="5"/>
        <v>1372.8</v>
      </c>
      <c r="AB12" s="440">
        <f t="shared" si="5"/>
        <v>1372.8</v>
      </c>
      <c r="AC12" s="440">
        <f t="shared" si="5"/>
        <v>1372.8</v>
      </c>
    </row>
    <row r="13" spans="1:29">
      <c r="A13" s="2"/>
      <c r="B13" s="2" t="s">
        <v>166</v>
      </c>
      <c r="C13" s="419"/>
      <c r="D13" s="419"/>
      <c r="E13" s="419"/>
      <c r="F13" s="419"/>
      <c r="G13" s="420">
        <f t="shared" si="6"/>
        <v>0</v>
      </c>
      <c r="H13" s="421">
        <v>0.17</v>
      </c>
      <c r="I13" s="420">
        <f t="shared" si="3"/>
        <v>0</v>
      </c>
      <c r="J13" s="438"/>
      <c r="K13" s="438"/>
      <c r="L13" s="438"/>
      <c r="M13" s="439">
        <f t="shared" si="4"/>
        <v>0</v>
      </c>
      <c r="N13" s="439">
        <f t="shared" si="5"/>
        <v>0</v>
      </c>
      <c r="O13" s="440">
        <f t="shared" si="5"/>
        <v>0</v>
      </c>
      <c r="P13" s="440">
        <f t="shared" si="5"/>
        <v>0</v>
      </c>
      <c r="Q13" s="440">
        <f t="shared" si="5"/>
        <v>0</v>
      </c>
      <c r="R13" s="440">
        <f t="shared" si="5"/>
        <v>0</v>
      </c>
      <c r="S13" s="440">
        <f t="shared" si="5"/>
        <v>0</v>
      </c>
      <c r="T13" s="440">
        <f t="shared" si="5"/>
        <v>0</v>
      </c>
      <c r="U13" s="440">
        <f t="shared" si="5"/>
        <v>0</v>
      </c>
      <c r="V13" s="440">
        <f t="shared" si="5"/>
        <v>0</v>
      </c>
      <c r="W13" s="440">
        <f t="shared" si="5"/>
        <v>0</v>
      </c>
      <c r="X13" s="440">
        <f t="shared" si="5"/>
        <v>0</v>
      </c>
      <c r="Y13" s="440">
        <f t="shared" si="5"/>
        <v>0</v>
      </c>
      <c r="Z13" s="440">
        <f t="shared" si="5"/>
        <v>0</v>
      </c>
      <c r="AA13" s="440">
        <f t="shared" si="5"/>
        <v>0</v>
      </c>
      <c r="AB13" s="440">
        <f t="shared" si="5"/>
        <v>0</v>
      </c>
      <c r="AC13" s="440">
        <f t="shared" si="5"/>
        <v>0</v>
      </c>
    </row>
    <row r="14" spans="1:29">
      <c r="A14" s="2"/>
      <c r="B14" s="2" t="s">
        <v>167</v>
      </c>
      <c r="C14" s="419"/>
      <c r="D14" s="419"/>
      <c r="E14" s="419"/>
      <c r="F14" s="419"/>
      <c r="G14" s="420">
        <f t="shared" si="6"/>
        <v>0</v>
      </c>
      <c r="H14" s="421">
        <v>0.17</v>
      </c>
      <c r="I14" s="420">
        <f t="shared" si="3"/>
        <v>0</v>
      </c>
      <c r="J14" s="438"/>
      <c r="K14" s="438"/>
      <c r="L14" s="438"/>
      <c r="M14" s="439">
        <f t="shared" si="4"/>
        <v>0</v>
      </c>
      <c r="N14" s="439">
        <f t="shared" si="5"/>
        <v>0</v>
      </c>
      <c r="O14" s="440">
        <f t="shared" si="5"/>
        <v>0</v>
      </c>
      <c r="P14" s="440">
        <f t="shared" si="5"/>
        <v>0</v>
      </c>
      <c r="Q14" s="440">
        <f t="shared" si="5"/>
        <v>0</v>
      </c>
      <c r="R14" s="440">
        <f t="shared" si="5"/>
        <v>0</v>
      </c>
      <c r="S14" s="440">
        <f t="shared" si="5"/>
        <v>0</v>
      </c>
      <c r="T14" s="440">
        <f t="shared" si="5"/>
        <v>0</v>
      </c>
      <c r="U14" s="440">
        <f t="shared" si="5"/>
        <v>0</v>
      </c>
      <c r="V14" s="440">
        <f t="shared" si="5"/>
        <v>0</v>
      </c>
      <c r="W14" s="440">
        <f t="shared" si="5"/>
        <v>0</v>
      </c>
      <c r="X14" s="440">
        <f t="shared" si="5"/>
        <v>0</v>
      </c>
      <c r="Y14" s="440">
        <f t="shared" si="5"/>
        <v>0</v>
      </c>
      <c r="Z14" s="440">
        <f t="shared" si="5"/>
        <v>0</v>
      </c>
      <c r="AA14" s="440">
        <f t="shared" si="5"/>
        <v>0</v>
      </c>
      <c r="AB14" s="440">
        <f t="shared" si="5"/>
        <v>0</v>
      </c>
      <c r="AC14" s="440">
        <f t="shared" si="5"/>
        <v>0</v>
      </c>
    </row>
    <row r="15" spans="1:29">
      <c r="A15" s="2"/>
      <c r="B15" s="2" t="s">
        <v>168</v>
      </c>
      <c r="C15" s="419"/>
      <c r="D15" s="419"/>
      <c r="E15" s="419"/>
      <c r="F15" s="419"/>
      <c r="G15" s="420">
        <f t="shared" si="6"/>
        <v>0</v>
      </c>
      <c r="H15" s="421">
        <v>0.17</v>
      </c>
      <c r="I15" s="420">
        <f t="shared" si="3"/>
        <v>0</v>
      </c>
      <c r="J15" s="438"/>
      <c r="K15" s="438"/>
      <c r="L15" s="438"/>
      <c r="M15" s="439">
        <f t="shared" si="4"/>
        <v>0</v>
      </c>
      <c r="N15" s="439">
        <f t="shared" si="5"/>
        <v>0</v>
      </c>
      <c r="O15" s="440">
        <f t="shared" si="5"/>
        <v>0</v>
      </c>
      <c r="P15" s="440">
        <f t="shared" si="5"/>
        <v>0</v>
      </c>
      <c r="Q15" s="440">
        <f t="shared" si="5"/>
        <v>0</v>
      </c>
      <c r="R15" s="440">
        <f t="shared" si="5"/>
        <v>0</v>
      </c>
      <c r="S15" s="440">
        <f t="shared" si="5"/>
        <v>0</v>
      </c>
      <c r="T15" s="440">
        <f t="shared" si="5"/>
        <v>0</v>
      </c>
      <c r="U15" s="440">
        <f t="shared" si="5"/>
        <v>0</v>
      </c>
      <c r="V15" s="440">
        <f t="shared" si="5"/>
        <v>0</v>
      </c>
      <c r="W15" s="440">
        <f t="shared" si="5"/>
        <v>0</v>
      </c>
      <c r="X15" s="440">
        <f t="shared" si="5"/>
        <v>0</v>
      </c>
      <c r="Y15" s="440">
        <f t="shared" si="5"/>
        <v>0</v>
      </c>
      <c r="Z15" s="440">
        <f t="shared" si="5"/>
        <v>0</v>
      </c>
      <c r="AA15" s="440">
        <f t="shared" si="5"/>
        <v>0</v>
      </c>
      <c r="AB15" s="440">
        <f t="shared" si="5"/>
        <v>0</v>
      </c>
      <c r="AC15" s="440">
        <f t="shared" si="5"/>
        <v>0</v>
      </c>
    </row>
    <row r="16" spans="1:29">
      <c r="A16" s="2"/>
      <c r="B16" s="2" t="s">
        <v>169</v>
      </c>
      <c r="C16" s="419"/>
      <c r="D16" s="419"/>
      <c r="E16" s="419"/>
      <c r="F16" s="419"/>
      <c r="G16" s="420">
        <f t="shared" si="6"/>
        <v>0</v>
      </c>
      <c r="H16" s="421">
        <v>0.17</v>
      </c>
      <c r="I16" s="420">
        <f t="shared" si="3"/>
        <v>0</v>
      </c>
      <c r="J16" s="438"/>
      <c r="K16" s="438"/>
      <c r="L16" s="438"/>
      <c r="M16" s="439">
        <f t="shared" si="4"/>
        <v>0</v>
      </c>
      <c r="N16" s="439">
        <f t="shared" si="5"/>
        <v>0</v>
      </c>
      <c r="O16" s="440">
        <f t="shared" si="5"/>
        <v>0</v>
      </c>
      <c r="P16" s="440">
        <f t="shared" si="5"/>
        <v>0</v>
      </c>
      <c r="Q16" s="440">
        <f t="shared" si="5"/>
        <v>0</v>
      </c>
      <c r="R16" s="440">
        <f t="shared" si="5"/>
        <v>0</v>
      </c>
      <c r="S16" s="440">
        <f t="shared" si="5"/>
        <v>0</v>
      </c>
      <c r="T16" s="440">
        <f t="shared" si="5"/>
        <v>0</v>
      </c>
      <c r="U16" s="440">
        <f t="shared" si="5"/>
        <v>0</v>
      </c>
      <c r="V16" s="440">
        <f t="shared" si="5"/>
        <v>0</v>
      </c>
      <c r="W16" s="440">
        <f t="shared" si="5"/>
        <v>0</v>
      </c>
      <c r="X16" s="440">
        <f t="shared" si="5"/>
        <v>0</v>
      </c>
      <c r="Y16" s="440">
        <f t="shared" si="5"/>
        <v>0</v>
      </c>
      <c r="Z16" s="440">
        <f t="shared" si="5"/>
        <v>0</v>
      </c>
      <c r="AA16" s="440">
        <f t="shared" si="5"/>
        <v>0</v>
      </c>
      <c r="AB16" s="440">
        <f t="shared" si="5"/>
        <v>0</v>
      </c>
      <c r="AC16" s="440">
        <f t="shared" si="5"/>
        <v>0</v>
      </c>
    </row>
    <row r="17" spans="1:29">
      <c r="A17" s="2"/>
      <c r="B17" s="2" t="s">
        <v>170</v>
      </c>
      <c r="C17" s="419">
        <v>0</v>
      </c>
      <c r="D17" s="419" t="s">
        <v>164</v>
      </c>
      <c r="E17" s="419">
        <v>1</v>
      </c>
      <c r="F17" s="419" t="s">
        <v>163</v>
      </c>
      <c r="G17" s="420">
        <f>C17*E17</f>
        <v>0</v>
      </c>
      <c r="H17" s="421">
        <v>0.17</v>
      </c>
      <c r="I17" s="420">
        <f t="shared" si="3"/>
        <v>0</v>
      </c>
      <c r="J17" s="438"/>
      <c r="K17" s="438"/>
      <c r="L17" s="438"/>
      <c r="M17" s="439">
        <f t="shared" si="4"/>
        <v>0</v>
      </c>
      <c r="N17" s="439">
        <f t="shared" si="5"/>
        <v>0</v>
      </c>
      <c r="O17" s="440">
        <f t="shared" si="5"/>
        <v>0</v>
      </c>
      <c r="P17" s="440">
        <f t="shared" si="5"/>
        <v>0</v>
      </c>
      <c r="Q17" s="440">
        <f t="shared" si="5"/>
        <v>0</v>
      </c>
      <c r="R17" s="440">
        <f t="shared" si="5"/>
        <v>0</v>
      </c>
      <c r="S17" s="440">
        <f t="shared" si="5"/>
        <v>0</v>
      </c>
      <c r="T17" s="440">
        <f t="shared" si="5"/>
        <v>0</v>
      </c>
      <c r="U17" s="440">
        <f t="shared" si="5"/>
        <v>0</v>
      </c>
      <c r="V17" s="440">
        <f t="shared" si="5"/>
        <v>0</v>
      </c>
      <c r="W17" s="440">
        <f t="shared" si="5"/>
        <v>0</v>
      </c>
      <c r="X17" s="440">
        <f t="shared" si="5"/>
        <v>0</v>
      </c>
      <c r="Y17" s="440">
        <f t="shared" si="5"/>
        <v>0</v>
      </c>
      <c r="Z17" s="440">
        <f t="shared" si="5"/>
        <v>0</v>
      </c>
      <c r="AA17" s="440">
        <f t="shared" si="5"/>
        <v>0</v>
      </c>
      <c r="AB17" s="440">
        <f t="shared" si="5"/>
        <v>0</v>
      </c>
      <c r="AC17" s="440">
        <f t="shared" si="5"/>
        <v>0</v>
      </c>
    </row>
    <row r="18" spans="1:29">
      <c r="A18" s="417" t="s">
        <v>171</v>
      </c>
      <c r="B18" s="418" t="s">
        <v>172</v>
      </c>
      <c r="C18" s="419"/>
      <c r="D18" s="419"/>
      <c r="E18" s="419"/>
      <c r="F18" s="419"/>
      <c r="G18" s="420">
        <f t="shared" si="6"/>
        <v>0</v>
      </c>
      <c r="H18" s="392"/>
      <c r="I18" s="420">
        <f t="shared" si="3"/>
        <v>0</v>
      </c>
      <c r="J18" s="438"/>
      <c r="K18" s="438"/>
      <c r="L18" s="438"/>
      <c r="M18" s="439">
        <f t="shared" si="4"/>
        <v>0</v>
      </c>
      <c r="N18" s="439">
        <f t="shared" si="5"/>
        <v>0</v>
      </c>
      <c r="O18" s="440">
        <f t="shared" si="5"/>
        <v>0</v>
      </c>
      <c r="P18" s="440">
        <f t="shared" si="5"/>
        <v>0</v>
      </c>
      <c r="Q18" s="440">
        <f t="shared" si="5"/>
        <v>0</v>
      </c>
      <c r="R18" s="440">
        <f t="shared" si="5"/>
        <v>0</v>
      </c>
      <c r="S18" s="440">
        <f t="shared" si="5"/>
        <v>0</v>
      </c>
      <c r="T18" s="440">
        <f t="shared" si="5"/>
        <v>0</v>
      </c>
      <c r="U18" s="440">
        <f t="shared" si="5"/>
        <v>0</v>
      </c>
      <c r="V18" s="440">
        <f t="shared" si="5"/>
        <v>0</v>
      </c>
      <c r="W18" s="440">
        <f t="shared" si="5"/>
        <v>0</v>
      </c>
      <c r="X18" s="440">
        <f t="shared" si="5"/>
        <v>0</v>
      </c>
      <c r="Y18" s="440">
        <f t="shared" si="5"/>
        <v>0</v>
      </c>
      <c r="Z18" s="440">
        <f t="shared" si="5"/>
        <v>0</v>
      </c>
      <c r="AA18" s="440">
        <f t="shared" si="5"/>
        <v>0</v>
      </c>
      <c r="AB18" s="440">
        <f t="shared" si="5"/>
        <v>0</v>
      </c>
      <c r="AC18" s="440">
        <f t="shared" si="5"/>
        <v>0</v>
      </c>
    </row>
    <row r="19" spans="1:29">
      <c r="A19" s="417" t="s">
        <v>173</v>
      </c>
      <c r="B19" s="418" t="s">
        <v>174</v>
      </c>
      <c r="C19" s="419"/>
      <c r="D19" s="419"/>
      <c r="E19" s="419"/>
      <c r="F19" s="419"/>
      <c r="G19" s="420">
        <f>SUM(G20:G26)</f>
        <v>133286.741</v>
      </c>
      <c r="H19" s="392"/>
      <c r="I19" s="420">
        <f t="shared" si="3"/>
        <v>0</v>
      </c>
      <c r="J19" s="438"/>
      <c r="K19" s="438"/>
      <c r="L19" s="438"/>
      <c r="M19" s="439">
        <f>SUM(M20:M26)</f>
        <v>106629.3928</v>
      </c>
      <c r="N19" s="439">
        <f t="shared" ref="N19:AC19" si="7">SUM(N20:N26)</f>
        <v>133286.741</v>
      </c>
      <c r="O19" s="439">
        <f t="shared" si="7"/>
        <v>133286.741</v>
      </c>
      <c r="P19" s="439">
        <f t="shared" si="7"/>
        <v>133286.741</v>
      </c>
      <c r="Q19" s="439">
        <f t="shared" si="7"/>
        <v>133286.741</v>
      </c>
      <c r="R19" s="439">
        <f t="shared" si="7"/>
        <v>133286.741</v>
      </c>
      <c r="S19" s="439">
        <f t="shared" si="7"/>
        <v>133286.741</v>
      </c>
      <c r="T19" s="439">
        <f t="shared" si="7"/>
        <v>133286.741</v>
      </c>
      <c r="U19" s="439">
        <f t="shared" si="7"/>
        <v>133286.741</v>
      </c>
      <c r="V19" s="439">
        <f t="shared" si="7"/>
        <v>133286.741</v>
      </c>
      <c r="W19" s="439">
        <f t="shared" si="7"/>
        <v>133286.741</v>
      </c>
      <c r="X19" s="439">
        <f t="shared" si="7"/>
        <v>133286.741</v>
      </c>
      <c r="Y19" s="439">
        <f t="shared" si="7"/>
        <v>133286.741</v>
      </c>
      <c r="Z19" s="439">
        <f t="shared" si="7"/>
        <v>133286.741</v>
      </c>
      <c r="AA19" s="439">
        <f t="shared" si="7"/>
        <v>133286.741</v>
      </c>
      <c r="AB19" s="439">
        <f t="shared" si="7"/>
        <v>133286.741</v>
      </c>
      <c r="AC19" s="439">
        <f t="shared" si="7"/>
        <v>133286.741</v>
      </c>
    </row>
    <row r="20" spans="1:29">
      <c r="A20" s="2">
        <v>3.1</v>
      </c>
      <c r="B20" s="2" t="s">
        <v>17</v>
      </c>
      <c r="C20" s="419">
        <f>主要参数指标汇总表!D6</f>
        <v>0.43</v>
      </c>
      <c r="D20" s="419" t="s">
        <v>18</v>
      </c>
      <c r="E20" s="419">
        <v>955127000</v>
      </c>
      <c r="F20" s="392" t="s">
        <v>175</v>
      </c>
      <c r="G20" s="420">
        <f t="shared" si="6"/>
        <v>41070.461</v>
      </c>
      <c r="H20" s="421">
        <v>0.17</v>
      </c>
      <c r="I20" s="420">
        <f t="shared" si="3"/>
        <v>5967.50288034188</v>
      </c>
      <c r="J20" s="438"/>
      <c r="K20" s="438"/>
      <c r="L20" s="438"/>
      <c r="M20" s="439">
        <f t="shared" si="4"/>
        <v>32856.3688</v>
      </c>
      <c r="N20" s="439">
        <f t="shared" si="5"/>
        <v>41070.461</v>
      </c>
      <c r="O20" s="440">
        <f t="shared" si="5"/>
        <v>41070.461</v>
      </c>
      <c r="P20" s="440">
        <f t="shared" si="5"/>
        <v>41070.461</v>
      </c>
      <c r="Q20" s="440">
        <f t="shared" si="5"/>
        <v>41070.461</v>
      </c>
      <c r="R20" s="440">
        <f t="shared" si="5"/>
        <v>41070.461</v>
      </c>
      <c r="S20" s="440">
        <f t="shared" si="5"/>
        <v>41070.461</v>
      </c>
      <c r="T20" s="440">
        <f t="shared" si="5"/>
        <v>41070.461</v>
      </c>
      <c r="U20" s="440">
        <f t="shared" si="5"/>
        <v>41070.461</v>
      </c>
      <c r="V20" s="440">
        <f t="shared" si="5"/>
        <v>41070.461</v>
      </c>
      <c r="W20" s="440">
        <f t="shared" si="5"/>
        <v>41070.461</v>
      </c>
      <c r="X20" s="440">
        <f t="shared" si="5"/>
        <v>41070.461</v>
      </c>
      <c r="Y20" s="440">
        <f t="shared" si="5"/>
        <v>41070.461</v>
      </c>
      <c r="Z20" s="440">
        <f t="shared" si="5"/>
        <v>41070.461</v>
      </c>
      <c r="AA20" s="440">
        <f t="shared" si="5"/>
        <v>41070.461</v>
      </c>
      <c r="AB20" s="440">
        <f t="shared" si="5"/>
        <v>41070.461</v>
      </c>
      <c r="AC20" s="440">
        <f t="shared" si="5"/>
        <v>41070.461</v>
      </c>
    </row>
    <row r="21" spans="1:29">
      <c r="A21" s="2">
        <v>3.2</v>
      </c>
      <c r="B21" s="2" t="s">
        <v>20</v>
      </c>
      <c r="C21" s="419">
        <f>主要参数指标汇总表!D7</f>
        <v>3.5</v>
      </c>
      <c r="D21" s="419" t="s">
        <v>12</v>
      </c>
      <c r="E21" s="419">
        <v>18730000</v>
      </c>
      <c r="F21" s="419" t="s">
        <v>161</v>
      </c>
      <c r="G21" s="420">
        <f t="shared" si="6"/>
        <v>6555.5</v>
      </c>
      <c r="H21" s="421">
        <v>0.13</v>
      </c>
      <c r="I21" s="420">
        <f t="shared" si="3"/>
        <v>754.172566371682</v>
      </c>
      <c r="J21" s="438"/>
      <c r="K21" s="438"/>
      <c r="L21" s="438"/>
      <c r="M21" s="439">
        <f t="shared" si="4"/>
        <v>5244.4</v>
      </c>
      <c r="N21" s="439">
        <f t="shared" ref="N21:AC21" si="8">$G21</f>
        <v>6555.5</v>
      </c>
      <c r="O21" s="440">
        <f t="shared" si="8"/>
        <v>6555.5</v>
      </c>
      <c r="P21" s="440">
        <f t="shared" si="8"/>
        <v>6555.5</v>
      </c>
      <c r="Q21" s="440">
        <f t="shared" si="8"/>
        <v>6555.5</v>
      </c>
      <c r="R21" s="440">
        <f t="shared" si="8"/>
        <v>6555.5</v>
      </c>
      <c r="S21" s="440">
        <f t="shared" si="8"/>
        <v>6555.5</v>
      </c>
      <c r="T21" s="440">
        <f t="shared" si="8"/>
        <v>6555.5</v>
      </c>
      <c r="U21" s="440">
        <f t="shared" si="8"/>
        <v>6555.5</v>
      </c>
      <c r="V21" s="440">
        <f t="shared" si="8"/>
        <v>6555.5</v>
      </c>
      <c r="W21" s="440">
        <f t="shared" si="8"/>
        <v>6555.5</v>
      </c>
      <c r="X21" s="440">
        <f t="shared" si="8"/>
        <v>6555.5</v>
      </c>
      <c r="Y21" s="440">
        <f t="shared" si="8"/>
        <v>6555.5</v>
      </c>
      <c r="Z21" s="440">
        <f t="shared" si="8"/>
        <v>6555.5</v>
      </c>
      <c r="AA21" s="440">
        <f t="shared" si="8"/>
        <v>6555.5</v>
      </c>
      <c r="AB21" s="440">
        <f t="shared" si="8"/>
        <v>6555.5</v>
      </c>
      <c r="AC21" s="440">
        <f t="shared" si="8"/>
        <v>6555.5</v>
      </c>
    </row>
    <row r="22" spans="1:29">
      <c r="A22" s="2">
        <v>3.3</v>
      </c>
      <c r="B22" s="2" t="s">
        <v>176</v>
      </c>
      <c r="C22" s="419">
        <v>90</v>
      </c>
      <c r="D22" s="419" t="s">
        <v>12</v>
      </c>
      <c r="E22" s="419">
        <v>7597100</v>
      </c>
      <c r="F22" s="392" t="s">
        <v>161</v>
      </c>
      <c r="G22" s="420">
        <f t="shared" si="6"/>
        <v>68373.9</v>
      </c>
      <c r="H22" s="421">
        <v>0.13</v>
      </c>
      <c r="I22" s="420">
        <f t="shared" si="3"/>
        <v>7866.02389380531</v>
      </c>
      <c r="J22" s="438"/>
      <c r="K22" s="438"/>
      <c r="L22" s="438"/>
      <c r="M22" s="439">
        <f t="shared" si="4"/>
        <v>54699.12</v>
      </c>
      <c r="N22" s="439">
        <f t="shared" si="5"/>
        <v>68373.9</v>
      </c>
      <c r="O22" s="440">
        <f t="shared" si="5"/>
        <v>68373.9</v>
      </c>
      <c r="P22" s="440">
        <f t="shared" si="5"/>
        <v>68373.9</v>
      </c>
      <c r="Q22" s="440">
        <f t="shared" si="5"/>
        <v>68373.9</v>
      </c>
      <c r="R22" s="440">
        <f t="shared" si="5"/>
        <v>68373.9</v>
      </c>
      <c r="S22" s="440">
        <f t="shared" si="5"/>
        <v>68373.9</v>
      </c>
      <c r="T22" s="440">
        <f t="shared" si="5"/>
        <v>68373.9</v>
      </c>
      <c r="U22" s="440">
        <f t="shared" si="5"/>
        <v>68373.9</v>
      </c>
      <c r="V22" s="440">
        <f t="shared" si="5"/>
        <v>68373.9</v>
      </c>
      <c r="W22" s="440">
        <f t="shared" si="5"/>
        <v>68373.9</v>
      </c>
      <c r="X22" s="440">
        <f t="shared" si="5"/>
        <v>68373.9</v>
      </c>
      <c r="Y22" s="440">
        <f t="shared" si="5"/>
        <v>68373.9</v>
      </c>
      <c r="Z22" s="440">
        <f t="shared" si="5"/>
        <v>68373.9</v>
      </c>
      <c r="AA22" s="440">
        <f t="shared" si="5"/>
        <v>68373.9</v>
      </c>
      <c r="AB22" s="440">
        <f t="shared" si="5"/>
        <v>68373.9</v>
      </c>
      <c r="AC22" s="440">
        <f t="shared" si="5"/>
        <v>68373.9</v>
      </c>
    </row>
    <row r="23" spans="1:29">
      <c r="A23" s="2">
        <v>3.4</v>
      </c>
      <c r="B23" s="2" t="s">
        <v>177</v>
      </c>
      <c r="C23" s="419">
        <v>87</v>
      </c>
      <c r="D23" s="419" t="s">
        <v>12</v>
      </c>
      <c r="E23" s="419">
        <v>0</v>
      </c>
      <c r="F23" s="392" t="s">
        <v>161</v>
      </c>
      <c r="G23" s="420">
        <f t="shared" si="6"/>
        <v>0</v>
      </c>
      <c r="H23" s="421">
        <v>0.13</v>
      </c>
      <c r="I23" s="420">
        <f t="shared" si="3"/>
        <v>0</v>
      </c>
      <c r="J23" s="438"/>
      <c r="K23" s="438"/>
      <c r="L23" s="438"/>
      <c r="M23" s="439">
        <f t="shared" si="4"/>
        <v>0</v>
      </c>
      <c r="N23" s="439">
        <f t="shared" si="5"/>
        <v>0</v>
      </c>
      <c r="O23" s="440">
        <f t="shared" si="5"/>
        <v>0</v>
      </c>
      <c r="P23" s="440">
        <f t="shared" si="5"/>
        <v>0</v>
      </c>
      <c r="Q23" s="440">
        <f t="shared" si="5"/>
        <v>0</v>
      </c>
      <c r="R23" s="440">
        <f t="shared" si="5"/>
        <v>0</v>
      </c>
      <c r="S23" s="440">
        <f t="shared" si="5"/>
        <v>0</v>
      </c>
      <c r="T23" s="440">
        <f t="shared" si="5"/>
        <v>0</v>
      </c>
      <c r="U23" s="440">
        <f t="shared" si="5"/>
        <v>0</v>
      </c>
      <c r="V23" s="440">
        <f t="shared" si="5"/>
        <v>0</v>
      </c>
      <c r="W23" s="440">
        <f t="shared" si="5"/>
        <v>0</v>
      </c>
      <c r="X23" s="440">
        <f t="shared" si="5"/>
        <v>0</v>
      </c>
      <c r="Y23" s="440">
        <f t="shared" si="5"/>
        <v>0</v>
      </c>
      <c r="Z23" s="440">
        <f t="shared" si="5"/>
        <v>0</v>
      </c>
      <c r="AA23" s="440">
        <f t="shared" si="5"/>
        <v>0</v>
      </c>
      <c r="AB23" s="440">
        <f t="shared" si="5"/>
        <v>0</v>
      </c>
      <c r="AC23" s="440">
        <f t="shared" si="5"/>
        <v>0</v>
      </c>
    </row>
    <row r="24" spans="1:29">
      <c r="A24" s="2">
        <v>3.5</v>
      </c>
      <c r="B24" s="2" t="s">
        <v>178</v>
      </c>
      <c r="C24" s="419">
        <v>84</v>
      </c>
      <c r="D24" s="419" t="s">
        <v>12</v>
      </c>
      <c r="E24" s="419">
        <v>1403200</v>
      </c>
      <c r="F24" s="392" t="s">
        <v>161</v>
      </c>
      <c r="G24" s="420">
        <f t="shared" si="6"/>
        <v>11786.88</v>
      </c>
      <c r="H24" s="421">
        <v>0.13</v>
      </c>
      <c r="I24" s="420">
        <f t="shared" si="3"/>
        <v>1356.01274336283</v>
      </c>
      <c r="J24" s="438"/>
      <c r="K24" s="438"/>
      <c r="L24" s="438"/>
      <c r="M24" s="439">
        <f t="shared" si="4"/>
        <v>9429.504</v>
      </c>
      <c r="N24" s="439">
        <f t="shared" si="5"/>
        <v>11786.88</v>
      </c>
      <c r="O24" s="440">
        <f t="shared" si="5"/>
        <v>11786.88</v>
      </c>
      <c r="P24" s="440">
        <f t="shared" si="5"/>
        <v>11786.88</v>
      </c>
      <c r="Q24" s="440">
        <f t="shared" si="5"/>
        <v>11786.88</v>
      </c>
      <c r="R24" s="440">
        <f t="shared" si="5"/>
        <v>11786.88</v>
      </c>
      <c r="S24" s="440">
        <f t="shared" si="5"/>
        <v>11786.88</v>
      </c>
      <c r="T24" s="440">
        <f t="shared" si="5"/>
        <v>11786.88</v>
      </c>
      <c r="U24" s="440">
        <f t="shared" si="5"/>
        <v>11786.88</v>
      </c>
      <c r="V24" s="440">
        <f t="shared" si="5"/>
        <v>11786.88</v>
      </c>
      <c r="W24" s="440">
        <f t="shared" si="5"/>
        <v>11786.88</v>
      </c>
      <c r="X24" s="440">
        <f t="shared" si="5"/>
        <v>11786.88</v>
      </c>
      <c r="Y24" s="440">
        <f t="shared" si="5"/>
        <v>11786.88</v>
      </c>
      <c r="Z24" s="440">
        <f t="shared" si="5"/>
        <v>11786.88</v>
      </c>
      <c r="AA24" s="440">
        <f t="shared" si="5"/>
        <v>11786.88</v>
      </c>
      <c r="AB24" s="440">
        <f t="shared" si="5"/>
        <v>11786.88</v>
      </c>
      <c r="AC24" s="440">
        <f t="shared" si="5"/>
        <v>11786.88</v>
      </c>
    </row>
    <row r="25" spans="1:29">
      <c r="A25" s="2">
        <v>3.6</v>
      </c>
      <c r="B25" s="169" t="s">
        <v>179</v>
      </c>
      <c r="C25" s="419">
        <v>1500</v>
      </c>
      <c r="D25" s="419" t="s">
        <v>180</v>
      </c>
      <c r="E25" s="422">
        <v>1</v>
      </c>
      <c r="F25" s="392" t="s">
        <v>163</v>
      </c>
      <c r="G25" s="420">
        <f t="shared" ref="G25:G26" si="9">C25*E25</f>
        <v>1500</v>
      </c>
      <c r="H25" s="419"/>
      <c r="I25" s="420">
        <f t="shared" si="3"/>
        <v>0</v>
      </c>
      <c r="J25" s="438"/>
      <c r="K25" s="438"/>
      <c r="L25" s="438"/>
      <c r="M25" s="440">
        <f t="shared" si="4"/>
        <v>1200</v>
      </c>
      <c r="N25" s="440">
        <f t="shared" ref="N25:AC25" si="10">$G$25</f>
        <v>1500</v>
      </c>
      <c r="O25" s="440">
        <f t="shared" si="10"/>
        <v>1500</v>
      </c>
      <c r="P25" s="440">
        <f t="shared" si="10"/>
        <v>1500</v>
      </c>
      <c r="Q25" s="440">
        <f t="shared" si="10"/>
        <v>1500</v>
      </c>
      <c r="R25" s="440">
        <f t="shared" si="10"/>
        <v>1500</v>
      </c>
      <c r="S25" s="440">
        <f t="shared" si="10"/>
        <v>1500</v>
      </c>
      <c r="T25" s="440">
        <f t="shared" si="10"/>
        <v>1500</v>
      </c>
      <c r="U25" s="440">
        <f t="shared" si="10"/>
        <v>1500</v>
      </c>
      <c r="V25" s="440">
        <f t="shared" si="10"/>
        <v>1500</v>
      </c>
      <c r="W25" s="440">
        <f t="shared" si="10"/>
        <v>1500</v>
      </c>
      <c r="X25" s="440">
        <f t="shared" si="10"/>
        <v>1500</v>
      </c>
      <c r="Y25" s="440">
        <f t="shared" si="10"/>
        <v>1500</v>
      </c>
      <c r="Z25" s="440">
        <f t="shared" si="10"/>
        <v>1500</v>
      </c>
      <c r="AA25" s="440">
        <f t="shared" si="10"/>
        <v>1500</v>
      </c>
      <c r="AB25" s="440">
        <f t="shared" si="10"/>
        <v>1500</v>
      </c>
      <c r="AC25" s="440">
        <f t="shared" si="10"/>
        <v>1500</v>
      </c>
    </row>
    <row r="26" spans="1:29">
      <c r="A26" s="2">
        <v>3.7</v>
      </c>
      <c r="B26" s="169" t="s">
        <v>181</v>
      </c>
      <c r="C26" s="419">
        <v>4000</v>
      </c>
      <c r="D26" s="419" t="s">
        <v>180</v>
      </c>
      <c r="E26" s="422">
        <v>1</v>
      </c>
      <c r="F26" s="392" t="s">
        <v>163</v>
      </c>
      <c r="G26" s="420">
        <f t="shared" si="9"/>
        <v>4000</v>
      </c>
      <c r="H26" s="419"/>
      <c r="I26" s="420">
        <f t="shared" si="3"/>
        <v>0</v>
      </c>
      <c r="J26" s="438"/>
      <c r="K26" s="438"/>
      <c r="L26" s="438"/>
      <c r="M26" s="440">
        <f t="shared" si="4"/>
        <v>3200</v>
      </c>
      <c r="N26" s="440">
        <f t="shared" ref="N26:AC26" si="11">$G$26</f>
        <v>4000</v>
      </c>
      <c r="O26" s="440">
        <f t="shared" si="11"/>
        <v>4000</v>
      </c>
      <c r="P26" s="440">
        <f t="shared" si="11"/>
        <v>4000</v>
      </c>
      <c r="Q26" s="440">
        <f t="shared" si="11"/>
        <v>4000</v>
      </c>
      <c r="R26" s="440">
        <f t="shared" si="11"/>
        <v>4000</v>
      </c>
      <c r="S26" s="440">
        <f t="shared" si="11"/>
        <v>4000</v>
      </c>
      <c r="T26" s="440">
        <f t="shared" si="11"/>
        <v>4000</v>
      </c>
      <c r="U26" s="440">
        <f t="shared" si="11"/>
        <v>4000</v>
      </c>
      <c r="V26" s="440">
        <f t="shared" si="11"/>
        <v>4000</v>
      </c>
      <c r="W26" s="440">
        <f t="shared" si="11"/>
        <v>4000</v>
      </c>
      <c r="X26" s="440">
        <f t="shared" si="11"/>
        <v>4000</v>
      </c>
      <c r="Y26" s="440">
        <f t="shared" si="11"/>
        <v>4000</v>
      </c>
      <c r="Z26" s="440">
        <f t="shared" si="11"/>
        <v>4000</v>
      </c>
      <c r="AA26" s="440">
        <f t="shared" si="11"/>
        <v>4000</v>
      </c>
      <c r="AB26" s="440">
        <f t="shared" si="11"/>
        <v>4000</v>
      </c>
      <c r="AC26" s="440">
        <f t="shared" si="11"/>
        <v>4000</v>
      </c>
    </row>
    <row r="27" spans="1:29">
      <c r="A27" s="161" t="s">
        <v>182</v>
      </c>
      <c r="B27" s="161" t="s">
        <v>183</v>
      </c>
      <c r="C27" s="419">
        <v>115000</v>
      </c>
      <c r="D27" s="419" t="s">
        <v>184</v>
      </c>
      <c r="E27" s="419">
        <v>1067</v>
      </c>
      <c r="F27" s="392" t="s">
        <v>26</v>
      </c>
      <c r="G27" s="420">
        <f t="shared" si="6"/>
        <v>12270.5</v>
      </c>
      <c r="H27" s="419"/>
      <c r="I27" s="420">
        <f t="shared" si="3"/>
        <v>0</v>
      </c>
      <c r="J27" s="438"/>
      <c r="K27" s="438"/>
      <c r="L27" s="438"/>
      <c r="M27" s="439">
        <f>G27</f>
        <v>12270.5</v>
      </c>
      <c r="N27" s="439">
        <f t="shared" si="5"/>
        <v>12270.5</v>
      </c>
      <c r="O27" s="440">
        <f t="shared" si="5"/>
        <v>12270.5</v>
      </c>
      <c r="P27" s="440">
        <f t="shared" ref="O27:AC34" si="12">$G27</f>
        <v>12270.5</v>
      </c>
      <c r="Q27" s="440">
        <f t="shared" si="12"/>
        <v>12270.5</v>
      </c>
      <c r="R27" s="440">
        <f t="shared" si="12"/>
        <v>12270.5</v>
      </c>
      <c r="S27" s="440">
        <f t="shared" si="12"/>
        <v>12270.5</v>
      </c>
      <c r="T27" s="440">
        <f t="shared" si="12"/>
        <v>12270.5</v>
      </c>
      <c r="U27" s="440">
        <f t="shared" si="12"/>
        <v>12270.5</v>
      </c>
      <c r="V27" s="440">
        <f t="shared" si="12"/>
        <v>12270.5</v>
      </c>
      <c r="W27" s="440">
        <f t="shared" si="12"/>
        <v>12270.5</v>
      </c>
      <c r="X27" s="440">
        <f t="shared" si="12"/>
        <v>12270.5</v>
      </c>
      <c r="Y27" s="440">
        <f t="shared" si="12"/>
        <v>12270.5</v>
      </c>
      <c r="Z27" s="440">
        <f t="shared" si="12"/>
        <v>12270.5</v>
      </c>
      <c r="AA27" s="440">
        <f t="shared" si="12"/>
        <v>12270.5</v>
      </c>
      <c r="AB27" s="440">
        <f t="shared" si="12"/>
        <v>12270.5</v>
      </c>
      <c r="AC27" s="440">
        <f t="shared" si="12"/>
        <v>12270.5</v>
      </c>
    </row>
    <row r="28" spans="1:29">
      <c r="A28" s="161" t="s">
        <v>185</v>
      </c>
      <c r="B28" s="161" t="s">
        <v>186</v>
      </c>
      <c r="C28" s="387">
        <f>建设投资!I8</f>
        <v>1967895.67603709</v>
      </c>
      <c r="D28" s="387" t="s">
        <v>54</v>
      </c>
      <c r="E28" s="423">
        <v>0.02</v>
      </c>
      <c r="F28" s="424"/>
      <c r="G28" s="425">
        <f>C28*E28</f>
        <v>39357.9135207418</v>
      </c>
      <c r="H28" s="387"/>
      <c r="I28" s="425">
        <f t="shared" si="3"/>
        <v>0</v>
      </c>
      <c r="J28" s="438"/>
      <c r="K28" s="438"/>
      <c r="L28" s="438"/>
      <c r="M28" s="440">
        <f>G28</f>
        <v>39357.9135207418</v>
      </c>
      <c r="N28" s="440">
        <f t="shared" si="5"/>
        <v>39357.9135207418</v>
      </c>
      <c r="O28" s="440">
        <f t="shared" si="12"/>
        <v>39357.9135207418</v>
      </c>
      <c r="P28" s="440">
        <f t="shared" si="12"/>
        <v>39357.9135207418</v>
      </c>
      <c r="Q28" s="440">
        <f t="shared" si="12"/>
        <v>39357.9135207418</v>
      </c>
      <c r="R28" s="440">
        <f t="shared" si="12"/>
        <v>39357.9135207418</v>
      </c>
      <c r="S28" s="440">
        <f t="shared" si="12"/>
        <v>39357.9135207418</v>
      </c>
      <c r="T28" s="440">
        <f t="shared" si="12"/>
        <v>39357.9135207418</v>
      </c>
      <c r="U28" s="440">
        <f t="shared" si="12"/>
        <v>39357.9135207418</v>
      </c>
      <c r="V28" s="440">
        <f t="shared" si="12"/>
        <v>39357.9135207418</v>
      </c>
      <c r="W28" s="440">
        <f t="shared" si="12"/>
        <v>39357.9135207418</v>
      </c>
      <c r="X28" s="440">
        <f t="shared" si="12"/>
        <v>39357.9135207418</v>
      </c>
      <c r="Y28" s="440">
        <f t="shared" si="12"/>
        <v>39357.9135207418</v>
      </c>
      <c r="Z28" s="440">
        <f t="shared" si="12"/>
        <v>39357.9135207418</v>
      </c>
      <c r="AA28" s="440">
        <f t="shared" si="12"/>
        <v>39357.9135207418</v>
      </c>
      <c r="AB28" s="440">
        <f t="shared" si="12"/>
        <v>39357.9135207418</v>
      </c>
      <c r="AC28" s="440">
        <f t="shared" si="12"/>
        <v>39357.9135207418</v>
      </c>
    </row>
    <row r="29" spans="1:29">
      <c r="A29" s="161" t="s">
        <v>187</v>
      </c>
      <c r="B29" s="161" t="s">
        <v>188</v>
      </c>
      <c r="C29" s="419"/>
      <c r="D29" s="419"/>
      <c r="E29" s="419"/>
      <c r="F29" s="392"/>
      <c r="G29" s="420">
        <f>SUM(G30:G34)</f>
        <v>10321.6709510371</v>
      </c>
      <c r="H29" s="419"/>
      <c r="I29" s="420">
        <f t="shared" si="3"/>
        <v>0</v>
      </c>
      <c r="J29" s="438"/>
      <c r="K29" s="438"/>
      <c r="L29" s="438"/>
      <c r="M29" s="440">
        <f>SUM(M30:M34)</f>
        <v>9931.31589603709</v>
      </c>
      <c r="N29" s="440">
        <f t="shared" ref="N29:AC29" si="13">SUM(N30:N34)</f>
        <v>10321.6709510371</v>
      </c>
      <c r="O29" s="440">
        <f t="shared" si="13"/>
        <v>10321.6709510371</v>
      </c>
      <c r="P29" s="440">
        <f t="shared" si="13"/>
        <v>10321.6709510371</v>
      </c>
      <c r="Q29" s="440">
        <f t="shared" si="13"/>
        <v>10321.6709510371</v>
      </c>
      <c r="R29" s="440">
        <f t="shared" si="13"/>
        <v>10321.6709510371</v>
      </c>
      <c r="S29" s="440">
        <f t="shared" si="13"/>
        <v>10321.6709510371</v>
      </c>
      <c r="T29" s="440">
        <f t="shared" si="13"/>
        <v>10321.6709510371</v>
      </c>
      <c r="U29" s="440">
        <f t="shared" si="13"/>
        <v>10321.6709510371</v>
      </c>
      <c r="V29" s="440">
        <f t="shared" si="13"/>
        <v>10321.6709510371</v>
      </c>
      <c r="W29" s="440">
        <f t="shared" si="13"/>
        <v>10321.6709510371</v>
      </c>
      <c r="X29" s="440">
        <f t="shared" si="13"/>
        <v>10321.6709510371</v>
      </c>
      <c r="Y29" s="440">
        <f t="shared" si="13"/>
        <v>10321.6709510371</v>
      </c>
      <c r="Z29" s="440">
        <f t="shared" si="13"/>
        <v>10321.6709510371</v>
      </c>
      <c r="AA29" s="440">
        <f t="shared" si="13"/>
        <v>10321.6709510371</v>
      </c>
      <c r="AB29" s="440">
        <f t="shared" si="13"/>
        <v>10321.6709510371</v>
      </c>
      <c r="AC29" s="440">
        <f t="shared" si="13"/>
        <v>10321.6709510371</v>
      </c>
    </row>
    <row r="30" spans="1:29">
      <c r="A30" s="206">
        <v>4.1</v>
      </c>
      <c r="B30" s="206" t="s">
        <v>189</v>
      </c>
      <c r="C30" s="419">
        <v>15000</v>
      </c>
      <c r="D30" s="419" t="s">
        <v>190</v>
      </c>
      <c r="E30" s="419">
        <v>1067</v>
      </c>
      <c r="F30" s="392" t="s">
        <v>26</v>
      </c>
      <c r="G30" s="420">
        <f t="shared" si="6"/>
        <v>1600.5</v>
      </c>
      <c r="H30" s="419"/>
      <c r="I30" s="420">
        <f t="shared" si="3"/>
        <v>0</v>
      </c>
      <c r="J30" s="438"/>
      <c r="K30" s="438"/>
      <c r="L30" s="438"/>
      <c r="M30" s="440">
        <f>G30</f>
        <v>1600.5</v>
      </c>
      <c r="N30" s="440">
        <f t="shared" si="5"/>
        <v>1600.5</v>
      </c>
      <c r="O30" s="440">
        <f t="shared" si="12"/>
        <v>1600.5</v>
      </c>
      <c r="P30" s="440">
        <f t="shared" si="12"/>
        <v>1600.5</v>
      </c>
      <c r="Q30" s="440">
        <f t="shared" si="12"/>
        <v>1600.5</v>
      </c>
      <c r="R30" s="440">
        <f t="shared" si="12"/>
        <v>1600.5</v>
      </c>
      <c r="S30" s="440">
        <f t="shared" si="12"/>
        <v>1600.5</v>
      </c>
      <c r="T30" s="440">
        <f t="shared" si="12"/>
        <v>1600.5</v>
      </c>
      <c r="U30" s="440">
        <f t="shared" si="12"/>
        <v>1600.5</v>
      </c>
      <c r="V30" s="440">
        <f t="shared" si="12"/>
        <v>1600.5</v>
      </c>
      <c r="W30" s="440">
        <f t="shared" si="12"/>
        <v>1600.5</v>
      </c>
      <c r="X30" s="440">
        <f t="shared" si="12"/>
        <v>1600.5</v>
      </c>
      <c r="Y30" s="440">
        <f t="shared" si="12"/>
        <v>1600.5</v>
      </c>
      <c r="Z30" s="440">
        <f t="shared" si="12"/>
        <v>1600.5</v>
      </c>
      <c r="AA30" s="440">
        <f t="shared" si="12"/>
        <v>1600.5</v>
      </c>
      <c r="AB30" s="440">
        <f t="shared" si="12"/>
        <v>1600.5</v>
      </c>
      <c r="AC30" s="440">
        <f t="shared" si="12"/>
        <v>1600.5</v>
      </c>
    </row>
    <row r="31" spans="1:29">
      <c r="A31" s="206">
        <v>4.2</v>
      </c>
      <c r="B31" s="206" t="s">
        <v>191</v>
      </c>
      <c r="C31" s="419">
        <v>45000</v>
      </c>
      <c r="D31" s="419" t="s">
        <v>190</v>
      </c>
      <c r="E31" s="419">
        <v>1067</v>
      </c>
      <c r="F31" s="392" t="s">
        <v>26</v>
      </c>
      <c r="G31" s="420">
        <f t="shared" si="6"/>
        <v>4801.5</v>
      </c>
      <c r="H31" s="419"/>
      <c r="I31" s="420">
        <f t="shared" si="3"/>
        <v>0</v>
      </c>
      <c r="J31" s="438"/>
      <c r="K31" s="438"/>
      <c r="L31" s="438"/>
      <c r="M31" s="440">
        <f>G31</f>
        <v>4801.5</v>
      </c>
      <c r="N31" s="440">
        <f t="shared" si="5"/>
        <v>4801.5</v>
      </c>
      <c r="O31" s="440">
        <f t="shared" si="12"/>
        <v>4801.5</v>
      </c>
      <c r="P31" s="440">
        <f t="shared" si="12"/>
        <v>4801.5</v>
      </c>
      <c r="Q31" s="440">
        <f t="shared" si="12"/>
        <v>4801.5</v>
      </c>
      <c r="R31" s="440">
        <f t="shared" si="12"/>
        <v>4801.5</v>
      </c>
      <c r="S31" s="440">
        <f t="shared" si="12"/>
        <v>4801.5</v>
      </c>
      <c r="T31" s="440">
        <f t="shared" si="12"/>
        <v>4801.5</v>
      </c>
      <c r="U31" s="440">
        <f t="shared" si="12"/>
        <v>4801.5</v>
      </c>
      <c r="V31" s="440">
        <f t="shared" si="12"/>
        <v>4801.5</v>
      </c>
      <c r="W31" s="440">
        <f t="shared" si="12"/>
        <v>4801.5</v>
      </c>
      <c r="X31" s="440">
        <f t="shared" si="12"/>
        <v>4801.5</v>
      </c>
      <c r="Y31" s="440">
        <f t="shared" si="12"/>
        <v>4801.5</v>
      </c>
      <c r="Z31" s="440">
        <f t="shared" si="12"/>
        <v>4801.5</v>
      </c>
      <c r="AA31" s="440">
        <f t="shared" si="12"/>
        <v>4801.5</v>
      </c>
      <c r="AB31" s="440">
        <f t="shared" si="12"/>
        <v>4801.5</v>
      </c>
      <c r="AC31" s="440">
        <f t="shared" si="12"/>
        <v>4801.5</v>
      </c>
    </row>
    <row r="32" spans="1:29">
      <c r="A32" s="206">
        <v>4.3</v>
      </c>
      <c r="B32" s="206" t="s">
        <v>192</v>
      </c>
      <c r="C32" s="419">
        <f>销售收入!G18</f>
        <v>780710.11</v>
      </c>
      <c r="D32" s="419" t="s">
        <v>193</v>
      </c>
      <c r="E32" s="426">
        <v>0.0005</v>
      </c>
      <c r="F32" s="392"/>
      <c r="G32" s="420">
        <f>C32*E32</f>
        <v>390.355055</v>
      </c>
      <c r="H32" s="419"/>
      <c r="I32" s="420">
        <f t="shared" si="3"/>
        <v>0</v>
      </c>
      <c r="J32" s="438"/>
      <c r="K32" s="438"/>
      <c r="L32" s="438"/>
      <c r="M32" s="440">
        <f>G32*80%</f>
        <v>312.284044</v>
      </c>
      <c r="N32" s="440">
        <f t="shared" si="5"/>
        <v>390.355055</v>
      </c>
      <c r="O32" s="440">
        <f t="shared" si="12"/>
        <v>390.355055</v>
      </c>
      <c r="P32" s="440">
        <f t="shared" si="12"/>
        <v>390.355055</v>
      </c>
      <c r="Q32" s="440">
        <f t="shared" si="12"/>
        <v>390.355055</v>
      </c>
      <c r="R32" s="440">
        <f t="shared" si="12"/>
        <v>390.355055</v>
      </c>
      <c r="S32" s="440">
        <f t="shared" si="12"/>
        <v>390.355055</v>
      </c>
      <c r="T32" s="440">
        <f t="shared" si="12"/>
        <v>390.355055</v>
      </c>
      <c r="U32" s="440">
        <f t="shared" si="12"/>
        <v>390.355055</v>
      </c>
      <c r="V32" s="440">
        <f t="shared" si="12"/>
        <v>390.355055</v>
      </c>
      <c r="W32" s="440">
        <f t="shared" si="12"/>
        <v>390.355055</v>
      </c>
      <c r="X32" s="440">
        <f t="shared" si="12"/>
        <v>390.355055</v>
      </c>
      <c r="Y32" s="440">
        <f t="shared" si="12"/>
        <v>390.355055</v>
      </c>
      <c r="Z32" s="440">
        <f t="shared" si="12"/>
        <v>390.355055</v>
      </c>
      <c r="AA32" s="440">
        <f t="shared" si="12"/>
        <v>390.355055</v>
      </c>
      <c r="AB32" s="440">
        <f t="shared" si="12"/>
        <v>390.355055</v>
      </c>
      <c r="AC32" s="440">
        <f t="shared" si="12"/>
        <v>390.355055</v>
      </c>
    </row>
    <row r="33" spans="1:29">
      <c r="A33" s="206">
        <v>4.4</v>
      </c>
      <c r="B33" s="206" t="s">
        <v>194</v>
      </c>
      <c r="C33" s="419">
        <f>C32</f>
        <v>780710.11</v>
      </c>
      <c r="D33" s="419" t="s">
        <v>193</v>
      </c>
      <c r="E33" s="426">
        <v>0.002</v>
      </c>
      <c r="F33" s="392"/>
      <c r="G33" s="420">
        <f>C33*E33</f>
        <v>1561.42022</v>
      </c>
      <c r="H33" s="419"/>
      <c r="I33" s="420">
        <f t="shared" si="3"/>
        <v>0</v>
      </c>
      <c r="J33" s="438"/>
      <c r="K33" s="438"/>
      <c r="L33" s="438"/>
      <c r="M33" s="440">
        <f>G33*80%</f>
        <v>1249.136176</v>
      </c>
      <c r="N33" s="440">
        <f t="shared" si="5"/>
        <v>1561.42022</v>
      </c>
      <c r="O33" s="440">
        <f t="shared" si="12"/>
        <v>1561.42022</v>
      </c>
      <c r="P33" s="440">
        <f t="shared" si="12"/>
        <v>1561.42022</v>
      </c>
      <c r="Q33" s="440">
        <f t="shared" si="12"/>
        <v>1561.42022</v>
      </c>
      <c r="R33" s="440">
        <f t="shared" si="12"/>
        <v>1561.42022</v>
      </c>
      <c r="S33" s="440">
        <f t="shared" si="12"/>
        <v>1561.42022</v>
      </c>
      <c r="T33" s="440">
        <f t="shared" si="12"/>
        <v>1561.42022</v>
      </c>
      <c r="U33" s="440">
        <f t="shared" si="12"/>
        <v>1561.42022</v>
      </c>
      <c r="V33" s="440">
        <f t="shared" si="12"/>
        <v>1561.42022</v>
      </c>
      <c r="W33" s="440">
        <f t="shared" si="12"/>
        <v>1561.42022</v>
      </c>
      <c r="X33" s="440">
        <f t="shared" si="12"/>
        <v>1561.42022</v>
      </c>
      <c r="Y33" s="440">
        <f t="shared" si="12"/>
        <v>1561.42022</v>
      </c>
      <c r="Z33" s="440">
        <f t="shared" si="12"/>
        <v>1561.42022</v>
      </c>
      <c r="AA33" s="440">
        <f t="shared" si="12"/>
        <v>1561.42022</v>
      </c>
      <c r="AB33" s="440">
        <f t="shared" si="12"/>
        <v>1561.42022</v>
      </c>
      <c r="AC33" s="440">
        <f t="shared" si="12"/>
        <v>1561.42022</v>
      </c>
    </row>
    <row r="34" spans="1:29">
      <c r="A34" s="206">
        <v>4.5</v>
      </c>
      <c r="B34" s="206" t="s">
        <v>195</v>
      </c>
      <c r="C34" s="419">
        <f>建设投资!I8</f>
        <v>1967895.67603709</v>
      </c>
      <c r="D34" s="419" t="s">
        <v>54</v>
      </c>
      <c r="E34" s="426">
        <v>0.001</v>
      </c>
      <c r="F34" s="392"/>
      <c r="G34" s="420">
        <f>C34*E34</f>
        <v>1967.89567603709</v>
      </c>
      <c r="H34" s="419"/>
      <c r="I34" s="420">
        <f t="shared" si="3"/>
        <v>0</v>
      </c>
      <c r="J34" s="438"/>
      <c r="K34" s="438"/>
      <c r="L34" s="438"/>
      <c r="M34" s="440">
        <f>G34</f>
        <v>1967.89567603709</v>
      </c>
      <c r="N34" s="440">
        <f t="shared" si="5"/>
        <v>1967.89567603709</v>
      </c>
      <c r="O34" s="440">
        <f t="shared" si="12"/>
        <v>1967.89567603709</v>
      </c>
      <c r="P34" s="440">
        <f t="shared" si="12"/>
        <v>1967.89567603709</v>
      </c>
      <c r="Q34" s="440">
        <f t="shared" si="12"/>
        <v>1967.89567603709</v>
      </c>
      <c r="R34" s="440">
        <f t="shared" si="12"/>
        <v>1967.89567603709</v>
      </c>
      <c r="S34" s="440">
        <f t="shared" si="12"/>
        <v>1967.89567603709</v>
      </c>
      <c r="T34" s="440">
        <f t="shared" si="12"/>
        <v>1967.89567603709</v>
      </c>
      <c r="U34" s="440">
        <f t="shared" si="12"/>
        <v>1967.89567603709</v>
      </c>
      <c r="V34" s="440">
        <f t="shared" si="12"/>
        <v>1967.89567603709</v>
      </c>
      <c r="W34" s="440">
        <f t="shared" si="12"/>
        <v>1967.89567603709</v>
      </c>
      <c r="X34" s="440">
        <f t="shared" si="12"/>
        <v>1967.89567603709</v>
      </c>
      <c r="Y34" s="440">
        <f t="shared" si="12"/>
        <v>1967.89567603709</v>
      </c>
      <c r="Z34" s="440">
        <f t="shared" si="12"/>
        <v>1967.89567603709</v>
      </c>
      <c r="AA34" s="440">
        <f t="shared" si="12"/>
        <v>1967.89567603709</v>
      </c>
      <c r="AB34" s="440">
        <f t="shared" si="12"/>
        <v>1967.89567603709</v>
      </c>
      <c r="AC34" s="440">
        <f t="shared" si="12"/>
        <v>1967.89567603709</v>
      </c>
    </row>
    <row r="35" ht="23.25" customHeight="1" spans="1:29">
      <c r="A35" s="412" t="s">
        <v>196</v>
      </c>
      <c r="B35" s="412" t="s">
        <v>57</v>
      </c>
      <c r="C35" s="427"/>
      <c r="D35" s="427"/>
      <c r="E35" s="427"/>
      <c r="F35" s="427"/>
      <c r="G35" s="428">
        <f>G7+G27+G28+G29</f>
        <v>403601.625471779</v>
      </c>
      <c r="H35" s="419"/>
      <c r="I35" s="420">
        <f>(I9+I10+I11+I12+I20+I21+I22+I24+I23)*C3</f>
        <v>46218.9394343091</v>
      </c>
      <c r="J35" s="415"/>
      <c r="K35" s="415"/>
      <c r="L35" s="415"/>
      <c r="M35" s="441">
        <f>M7+M27+M28+M29</f>
        <v>334880.962216779</v>
      </c>
      <c r="N35" s="441">
        <f t="shared" ref="N35:AC35" si="14">N7+N27+N28+N29</f>
        <v>403601.625471779</v>
      </c>
      <c r="O35" s="441">
        <f t="shared" si="14"/>
        <v>403601.625471779</v>
      </c>
      <c r="P35" s="441">
        <f t="shared" si="14"/>
        <v>403601.625471779</v>
      </c>
      <c r="Q35" s="441">
        <f t="shared" si="14"/>
        <v>403601.625471779</v>
      </c>
      <c r="R35" s="441">
        <f t="shared" si="14"/>
        <v>403601.625471779</v>
      </c>
      <c r="S35" s="441">
        <f t="shared" si="14"/>
        <v>403601.625471779</v>
      </c>
      <c r="T35" s="441">
        <f t="shared" si="14"/>
        <v>403601.625471779</v>
      </c>
      <c r="U35" s="441">
        <f t="shared" si="14"/>
        <v>403601.625471779</v>
      </c>
      <c r="V35" s="441">
        <f t="shared" si="14"/>
        <v>403601.625471779</v>
      </c>
      <c r="W35" s="441">
        <f t="shared" si="14"/>
        <v>403601.625471779</v>
      </c>
      <c r="X35" s="441">
        <f t="shared" si="14"/>
        <v>403601.625471779</v>
      </c>
      <c r="Y35" s="441">
        <f t="shared" si="14"/>
        <v>403601.625471779</v>
      </c>
      <c r="Z35" s="441">
        <f t="shared" si="14"/>
        <v>403601.625471779</v>
      </c>
      <c r="AA35" s="441">
        <f t="shared" si="14"/>
        <v>403601.625471779</v>
      </c>
      <c r="AB35" s="441">
        <f t="shared" si="14"/>
        <v>403601.625471779</v>
      </c>
      <c r="AC35" s="441">
        <f t="shared" si="14"/>
        <v>403601.625471779</v>
      </c>
    </row>
    <row r="37" spans="1:29">
      <c r="A37" s="206"/>
      <c r="B37" s="169" t="s">
        <v>197</v>
      </c>
      <c r="C37" s="429">
        <v>636</v>
      </c>
      <c r="D37" s="429" t="s">
        <v>180</v>
      </c>
      <c r="E37" s="259">
        <v>1</v>
      </c>
      <c r="F37" s="380" t="s">
        <v>163</v>
      </c>
      <c r="G37" s="430">
        <f>C37*E37</f>
        <v>636</v>
      </c>
      <c r="H37" s="429"/>
      <c r="I37" s="430">
        <f t="shared" ref="I37:I42" si="15">G37*H37/(1+H37)</f>
        <v>0</v>
      </c>
      <c r="J37" s="442"/>
      <c r="K37" s="442"/>
      <c r="L37" s="442"/>
      <c r="M37" s="251">
        <f t="shared" ref="M37:M41" si="16">G37*80%</f>
        <v>508.8</v>
      </c>
      <c r="N37" s="251">
        <f t="shared" ref="N37:AC41" si="17">$G37</f>
        <v>636</v>
      </c>
      <c r="O37" s="251">
        <f t="shared" si="17"/>
        <v>636</v>
      </c>
      <c r="P37" s="251">
        <f t="shared" si="17"/>
        <v>636</v>
      </c>
      <c r="Q37" s="251">
        <f t="shared" si="17"/>
        <v>636</v>
      </c>
      <c r="R37" s="251">
        <f t="shared" si="17"/>
        <v>636</v>
      </c>
      <c r="S37" s="251">
        <f t="shared" si="17"/>
        <v>636</v>
      </c>
      <c r="T37" s="251">
        <f t="shared" si="17"/>
        <v>636</v>
      </c>
      <c r="U37" s="251">
        <f t="shared" si="17"/>
        <v>636</v>
      </c>
      <c r="V37" s="251">
        <f t="shared" si="17"/>
        <v>636</v>
      </c>
      <c r="W37" s="251">
        <f t="shared" si="17"/>
        <v>636</v>
      </c>
      <c r="X37" s="251">
        <f t="shared" si="17"/>
        <v>636</v>
      </c>
      <c r="Y37" s="251">
        <f t="shared" si="17"/>
        <v>636</v>
      </c>
      <c r="Z37" s="251">
        <f t="shared" si="17"/>
        <v>636</v>
      </c>
      <c r="AA37" s="251">
        <f t="shared" si="17"/>
        <v>636</v>
      </c>
      <c r="AB37" s="251">
        <f t="shared" si="17"/>
        <v>636</v>
      </c>
      <c r="AC37" s="251">
        <f t="shared" si="17"/>
        <v>636</v>
      </c>
    </row>
    <row r="38" spans="1:29">
      <c r="A38" s="206"/>
      <c r="B38" s="169" t="s">
        <v>198</v>
      </c>
      <c r="C38" s="429">
        <v>1774</v>
      </c>
      <c r="D38" s="429" t="s">
        <v>180</v>
      </c>
      <c r="E38" s="259">
        <v>1</v>
      </c>
      <c r="F38" s="380" t="s">
        <v>163</v>
      </c>
      <c r="G38" s="430">
        <f t="shared" ref="G38:G42" si="18">C38*E38</f>
        <v>1774</v>
      </c>
      <c r="H38" s="429"/>
      <c r="I38" s="430">
        <f t="shared" si="15"/>
        <v>0</v>
      </c>
      <c r="J38" s="442"/>
      <c r="K38" s="442"/>
      <c r="L38" s="442"/>
      <c r="M38" s="251">
        <f t="shared" si="16"/>
        <v>1419.2</v>
      </c>
      <c r="N38" s="251">
        <f t="shared" si="17"/>
        <v>1774</v>
      </c>
      <c r="O38" s="251">
        <f t="shared" si="17"/>
        <v>1774</v>
      </c>
      <c r="P38" s="251">
        <f t="shared" si="17"/>
        <v>1774</v>
      </c>
      <c r="Q38" s="251">
        <f t="shared" si="17"/>
        <v>1774</v>
      </c>
      <c r="R38" s="251">
        <f t="shared" si="17"/>
        <v>1774</v>
      </c>
      <c r="S38" s="251">
        <f t="shared" si="17"/>
        <v>1774</v>
      </c>
      <c r="T38" s="251">
        <f t="shared" si="17"/>
        <v>1774</v>
      </c>
      <c r="U38" s="251">
        <f t="shared" si="17"/>
        <v>1774</v>
      </c>
      <c r="V38" s="251">
        <f t="shared" si="17"/>
        <v>1774</v>
      </c>
      <c r="W38" s="251">
        <f t="shared" si="17"/>
        <v>1774</v>
      </c>
      <c r="X38" s="251">
        <f t="shared" si="17"/>
        <v>1774</v>
      </c>
      <c r="Y38" s="251">
        <f t="shared" si="17"/>
        <v>1774</v>
      </c>
      <c r="Z38" s="251">
        <f t="shared" si="17"/>
        <v>1774</v>
      </c>
      <c r="AA38" s="251">
        <f t="shared" si="17"/>
        <v>1774</v>
      </c>
      <c r="AB38" s="251">
        <f t="shared" si="17"/>
        <v>1774</v>
      </c>
      <c r="AC38" s="251">
        <f t="shared" si="17"/>
        <v>1774</v>
      </c>
    </row>
    <row r="39" spans="1:29">
      <c r="A39" s="206"/>
      <c r="B39" s="169" t="s">
        <v>199</v>
      </c>
      <c r="C39" s="429">
        <v>1339</v>
      </c>
      <c r="D39" s="429" t="s">
        <v>180</v>
      </c>
      <c r="E39" s="259">
        <v>1</v>
      </c>
      <c r="F39" s="380" t="s">
        <v>163</v>
      </c>
      <c r="G39" s="430">
        <f t="shared" si="18"/>
        <v>1339</v>
      </c>
      <c r="H39" s="429"/>
      <c r="I39" s="430">
        <f t="shared" si="15"/>
        <v>0</v>
      </c>
      <c r="J39" s="442"/>
      <c r="K39" s="442"/>
      <c r="L39" s="442"/>
      <c r="M39" s="251">
        <f t="shared" si="16"/>
        <v>1071.2</v>
      </c>
      <c r="N39" s="251">
        <f t="shared" si="17"/>
        <v>1339</v>
      </c>
      <c r="O39" s="251">
        <f t="shared" si="17"/>
        <v>1339</v>
      </c>
      <c r="P39" s="251">
        <f t="shared" si="17"/>
        <v>1339</v>
      </c>
      <c r="Q39" s="251">
        <f t="shared" si="17"/>
        <v>1339</v>
      </c>
      <c r="R39" s="251">
        <f t="shared" si="17"/>
        <v>1339</v>
      </c>
      <c r="S39" s="251">
        <f t="shared" si="17"/>
        <v>1339</v>
      </c>
      <c r="T39" s="251">
        <f t="shared" si="17"/>
        <v>1339</v>
      </c>
      <c r="U39" s="251">
        <f t="shared" si="17"/>
        <v>1339</v>
      </c>
      <c r="V39" s="251">
        <f t="shared" si="17"/>
        <v>1339</v>
      </c>
      <c r="W39" s="251">
        <f t="shared" si="17"/>
        <v>1339</v>
      </c>
      <c r="X39" s="251">
        <f t="shared" si="17"/>
        <v>1339</v>
      </c>
      <c r="Y39" s="251">
        <f t="shared" si="17"/>
        <v>1339</v>
      </c>
      <c r="Z39" s="251">
        <f t="shared" si="17"/>
        <v>1339</v>
      </c>
      <c r="AA39" s="251">
        <f t="shared" si="17"/>
        <v>1339</v>
      </c>
      <c r="AB39" s="251">
        <f t="shared" si="17"/>
        <v>1339</v>
      </c>
      <c r="AC39" s="251">
        <f t="shared" si="17"/>
        <v>1339</v>
      </c>
    </row>
    <row r="40" spans="1:29">
      <c r="A40" s="206"/>
      <c r="B40" s="169" t="s">
        <v>200</v>
      </c>
      <c r="C40" s="429">
        <v>124</v>
      </c>
      <c r="D40" s="429" t="s">
        <v>180</v>
      </c>
      <c r="E40" s="259">
        <v>1</v>
      </c>
      <c r="F40" s="380" t="s">
        <v>163</v>
      </c>
      <c r="G40" s="430">
        <f t="shared" si="18"/>
        <v>124</v>
      </c>
      <c r="H40" s="429"/>
      <c r="I40" s="430">
        <f t="shared" si="15"/>
        <v>0</v>
      </c>
      <c r="J40" s="442"/>
      <c r="K40" s="442"/>
      <c r="L40" s="442"/>
      <c r="M40" s="251">
        <f t="shared" si="16"/>
        <v>99.2</v>
      </c>
      <c r="N40" s="251">
        <f t="shared" si="17"/>
        <v>124</v>
      </c>
      <c r="O40" s="251">
        <f t="shared" si="17"/>
        <v>124</v>
      </c>
      <c r="P40" s="251">
        <f t="shared" si="17"/>
        <v>124</v>
      </c>
      <c r="Q40" s="251">
        <f t="shared" si="17"/>
        <v>124</v>
      </c>
      <c r="R40" s="251">
        <f t="shared" si="17"/>
        <v>124</v>
      </c>
      <c r="S40" s="251">
        <f t="shared" si="17"/>
        <v>124</v>
      </c>
      <c r="T40" s="251">
        <f t="shared" si="17"/>
        <v>124</v>
      </c>
      <c r="U40" s="251">
        <f t="shared" si="17"/>
        <v>124</v>
      </c>
      <c r="V40" s="251">
        <f t="shared" si="17"/>
        <v>124</v>
      </c>
      <c r="W40" s="251">
        <f t="shared" si="17"/>
        <v>124</v>
      </c>
      <c r="X40" s="251">
        <f t="shared" si="17"/>
        <v>124</v>
      </c>
      <c r="Y40" s="251">
        <f t="shared" si="17"/>
        <v>124</v>
      </c>
      <c r="Z40" s="251">
        <f t="shared" si="17"/>
        <v>124</v>
      </c>
      <c r="AA40" s="251">
        <f t="shared" si="17"/>
        <v>124</v>
      </c>
      <c r="AB40" s="251">
        <f t="shared" si="17"/>
        <v>124</v>
      </c>
      <c r="AC40" s="251">
        <f t="shared" si="17"/>
        <v>124</v>
      </c>
    </row>
    <row r="41" spans="1:29">
      <c r="A41" s="206"/>
      <c r="B41" s="169" t="s">
        <v>201</v>
      </c>
      <c r="C41" s="429">
        <v>870</v>
      </c>
      <c r="D41" s="429" t="s">
        <v>180</v>
      </c>
      <c r="E41" s="259">
        <v>1</v>
      </c>
      <c r="F41" s="380" t="s">
        <v>163</v>
      </c>
      <c r="G41" s="430">
        <f t="shared" si="18"/>
        <v>870</v>
      </c>
      <c r="H41" s="429"/>
      <c r="I41" s="430">
        <f t="shared" si="15"/>
        <v>0</v>
      </c>
      <c r="J41" s="442"/>
      <c r="K41" s="442"/>
      <c r="L41" s="442"/>
      <c r="M41" s="251">
        <f t="shared" si="16"/>
        <v>696</v>
      </c>
      <c r="N41" s="251">
        <f t="shared" si="17"/>
        <v>870</v>
      </c>
      <c r="O41" s="251">
        <f t="shared" si="17"/>
        <v>870</v>
      </c>
      <c r="P41" s="251">
        <f t="shared" si="17"/>
        <v>870</v>
      </c>
      <c r="Q41" s="251">
        <f t="shared" si="17"/>
        <v>870</v>
      </c>
      <c r="R41" s="251">
        <f t="shared" si="17"/>
        <v>870</v>
      </c>
      <c r="S41" s="251">
        <f t="shared" si="17"/>
        <v>870</v>
      </c>
      <c r="T41" s="251">
        <f t="shared" si="17"/>
        <v>870</v>
      </c>
      <c r="U41" s="251">
        <f t="shared" si="17"/>
        <v>870</v>
      </c>
      <c r="V41" s="251">
        <f t="shared" si="17"/>
        <v>870</v>
      </c>
      <c r="W41" s="251">
        <f t="shared" si="17"/>
        <v>870</v>
      </c>
      <c r="X41" s="251">
        <f t="shared" si="17"/>
        <v>870</v>
      </c>
      <c r="Y41" s="251">
        <f t="shared" si="17"/>
        <v>870</v>
      </c>
      <c r="Z41" s="251">
        <f t="shared" si="17"/>
        <v>870</v>
      </c>
      <c r="AA41" s="251">
        <f t="shared" si="17"/>
        <v>870</v>
      </c>
      <c r="AB41" s="251">
        <f t="shared" si="17"/>
        <v>870</v>
      </c>
      <c r="AC41" s="251">
        <f t="shared" si="17"/>
        <v>870</v>
      </c>
    </row>
    <row r="42" spans="1:29">
      <c r="A42" s="206"/>
      <c r="B42" s="169" t="s">
        <v>202</v>
      </c>
      <c r="C42" s="419"/>
      <c r="D42" s="429" t="s">
        <v>203</v>
      </c>
      <c r="E42" s="431">
        <v>0.25</v>
      </c>
      <c r="F42" s="380" t="s">
        <v>163</v>
      </c>
      <c r="G42" s="430">
        <f t="shared" si="18"/>
        <v>0</v>
      </c>
      <c r="H42" s="429"/>
      <c r="I42" s="430">
        <f t="shared" si="15"/>
        <v>0</v>
      </c>
      <c r="J42" s="442"/>
      <c r="K42" s="442"/>
      <c r="L42" s="442"/>
      <c r="M42" s="251">
        <v>0</v>
      </c>
      <c r="N42" s="251">
        <v>0</v>
      </c>
      <c r="O42" s="251">
        <v>0</v>
      </c>
      <c r="P42" s="251">
        <v>11000</v>
      </c>
      <c r="Q42" s="251">
        <v>0</v>
      </c>
      <c r="R42" s="251">
        <v>0</v>
      </c>
      <c r="S42" s="251">
        <v>0</v>
      </c>
      <c r="T42" s="251">
        <v>11000</v>
      </c>
      <c r="U42" s="251">
        <v>0</v>
      </c>
      <c r="V42" s="251">
        <v>0</v>
      </c>
      <c r="W42" s="251">
        <v>0</v>
      </c>
      <c r="X42" s="251">
        <v>11000</v>
      </c>
      <c r="Y42" s="251">
        <v>0</v>
      </c>
      <c r="Z42" s="251">
        <v>0</v>
      </c>
      <c r="AA42" s="251">
        <v>0</v>
      </c>
      <c r="AB42" s="251">
        <v>0</v>
      </c>
      <c r="AC42" s="251">
        <v>0</v>
      </c>
    </row>
  </sheetData>
  <mergeCells count="1">
    <mergeCell ref="A1:L2"/>
  </mergeCells>
  <hyperlinks>
    <hyperlink ref="A1:L2" location="目录!A1" display="经营成本"/>
  </hyperlinks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92D050"/>
  </sheetPr>
  <dimension ref="A1:P22"/>
  <sheetViews>
    <sheetView workbookViewId="0">
      <selection activeCell="I19" sqref="I19"/>
    </sheetView>
  </sheetViews>
  <sheetFormatPr defaultColWidth="9" defaultRowHeight="14"/>
  <cols>
    <col min="2" max="2" width="12.1272727272727" customWidth="1"/>
    <col min="3" max="3" width="9.5" style="114" customWidth="1"/>
    <col min="4" max="4" width="9.37272727272727" customWidth="1"/>
    <col min="5" max="5" width="9.12727272727273" style="375" customWidth="1"/>
    <col min="6" max="7" width="10.1272727272727" customWidth="1"/>
    <col min="8" max="8" width="8" style="114" customWidth="1"/>
    <col min="9" max="9" width="10.8727272727273" customWidth="1"/>
    <col min="10" max="10" width="8.5" customWidth="1"/>
    <col min="11" max="11" width="6.5" customWidth="1"/>
    <col min="12" max="12" width="8.5" customWidth="1"/>
    <col min="13" max="13" width="11" customWidth="1"/>
    <col min="14" max="14" width="11.6272727272727" customWidth="1"/>
  </cols>
  <sheetData>
    <row r="1" ht="30.75" customHeight="1" spans="2:12">
      <c r="B1" s="376" t="s">
        <v>204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ht="30.75" customHeight="1" spans="2:12">
      <c r="B2" s="377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ht="15" customHeight="1" spans="2:12"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ht="32.25" customHeight="1" spans="1:15">
      <c r="A4" s="378" t="s">
        <v>2</v>
      </c>
      <c r="B4" s="379" t="s">
        <v>205</v>
      </c>
      <c r="C4" s="378" t="s">
        <v>206</v>
      </c>
      <c r="D4" s="378" t="s">
        <v>207</v>
      </c>
      <c r="E4" s="378" t="s">
        <v>208</v>
      </c>
      <c r="F4" s="378" t="s">
        <v>5</v>
      </c>
      <c r="G4" s="190" t="s">
        <v>209</v>
      </c>
      <c r="H4" s="378" t="s">
        <v>210</v>
      </c>
      <c r="I4" s="396" t="s">
        <v>211</v>
      </c>
      <c r="J4" s="378" t="s">
        <v>212</v>
      </c>
      <c r="K4" s="378" t="s">
        <v>213</v>
      </c>
      <c r="L4" s="397" t="s">
        <v>214</v>
      </c>
      <c r="M4" s="378" t="s">
        <v>215</v>
      </c>
      <c r="O4" s="398" t="s">
        <v>216</v>
      </c>
    </row>
    <row r="5" spans="1:14">
      <c r="A5" s="380">
        <v>1</v>
      </c>
      <c r="B5" s="381" t="s">
        <v>217</v>
      </c>
      <c r="C5" s="380">
        <f>主要参数指标汇总表!D8</f>
        <v>1.6</v>
      </c>
      <c r="D5" s="382" t="s">
        <v>218</v>
      </c>
      <c r="E5" s="383">
        <f>402500*P6</f>
        <v>402500</v>
      </c>
      <c r="F5" s="384" t="s">
        <v>219</v>
      </c>
      <c r="G5" s="385">
        <f>C5*E5</f>
        <v>644000</v>
      </c>
      <c r="H5" s="386">
        <v>0.13</v>
      </c>
      <c r="I5" s="399">
        <f>G5/(1+H5)*H5</f>
        <v>74088.4955752213</v>
      </c>
      <c r="J5" s="382"/>
      <c r="K5" s="382"/>
      <c r="L5" s="382"/>
      <c r="M5" s="400"/>
      <c r="N5" s="401">
        <f>G5-I5</f>
        <v>569911.504424779</v>
      </c>
    </row>
    <row r="6" spans="1:16">
      <c r="A6" s="380">
        <v>2</v>
      </c>
      <c r="B6" s="381" t="s">
        <v>220</v>
      </c>
      <c r="C6" s="380">
        <v>12</v>
      </c>
      <c r="D6" s="382" t="s">
        <v>12</v>
      </c>
      <c r="E6" s="383">
        <f>689.5*P6</f>
        <v>689.5</v>
      </c>
      <c r="F6" s="384" t="s">
        <v>221</v>
      </c>
      <c r="G6" s="385">
        <f t="shared" ref="G6:G17" si="0">C6*E6</f>
        <v>8274</v>
      </c>
      <c r="H6" s="386">
        <v>0.17</v>
      </c>
      <c r="I6" s="399">
        <f t="shared" ref="I6:I17" si="1">G6/(1+H6)*H6</f>
        <v>1202.20512820513</v>
      </c>
      <c r="J6" s="382"/>
      <c r="K6" s="382"/>
      <c r="L6" s="382"/>
      <c r="M6" s="402"/>
      <c r="O6" t="s">
        <v>222</v>
      </c>
      <c r="P6">
        <v>1</v>
      </c>
    </row>
    <row r="7" spans="1:13">
      <c r="A7" s="380">
        <v>3</v>
      </c>
      <c r="B7" s="381" t="s">
        <v>223</v>
      </c>
      <c r="C7" s="380">
        <v>2800</v>
      </c>
      <c r="D7" s="382" t="s">
        <v>12</v>
      </c>
      <c r="E7" s="383">
        <f>1.66*P6</f>
        <v>1.66</v>
      </c>
      <c r="F7" s="384" t="s">
        <v>221</v>
      </c>
      <c r="G7" s="385">
        <f t="shared" si="0"/>
        <v>4648</v>
      </c>
      <c r="H7" s="386">
        <v>0.17</v>
      </c>
      <c r="I7" s="399">
        <f t="shared" si="1"/>
        <v>675.350427350427</v>
      </c>
      <c r="J7" s="382"/>
      <c r="K7" s="382"/>
      <c r="L7" s="382"/>
      <c r="M7" s="402"/>
    </row>
    <row r="8" spans="1:13">
      <c r="A8" s="380">
        <v>4</v>
      </c>
      <c r="B8" s="381" t="s">
        <v>224</v>
      </c>
      <c r="C8" s="380">
        <v>901</v>
      </c>
      <c r="D8" s="382" t="s">
        <v>12</v>
      </c>
      <c r="E8" s="383">
        <f>11.55*P6</f>
        <v>11.55</v>
      </c>
      <c r="F8" s="384" t="s">
        <v>221</v>
      </c>
      <c r="G8" s="385">
        <f t="shared" si="0"/>
        <v>10406.55</v>
      </c>
      <c r="H8" s="386">
        <v>0.17</v>
      </c>
      <c r="I8" s="399">
        <f t="shared" si="1"/>
        <v>1512.06282051282</v>
      </c>
      <c r="J8" s="382"/>
      <c r="K8" s="382"/>
      <c r="L8" s="382"/>
      <c r="M8" s="402"/>
    </row>
    <row r="9" spans="1:13">
      <c r="A9" s="380">
        <v>5</v>
      </c>
      <c r="B9" s="381" t="s">
        <v>225</v>
      </c>
      <c r="C9" s="380">
        <v>1402</v>
      </c>
      <c r="D9" s="382" t="s">
        <v>12</v>
      </c>
      <c r="E9" s="383">
        <f>4.56*P6</f>
        <v>4.56</v>
      </c>
      <c r="F9" s="384" t="s">
        <v>221</v>
      </c>
      <c r="G9" s="385">
        <f t="shared" si="0"/>
        <v>6393.12</v>
      </c>
      <c r="H9" s="386">
        <v>0.17</v>
      </c>
      <c r="I9" s="399">
        <f t="shared" si="1"/>
        <v>928.914871794872</v>
      </c>
      <c r="J9" s="382"/>
      <c r="K9" s="382"/>
      <c r="L9" s="382"/>
      <c r="M9" s="402"/>
    </row>
    <row r="10" spans="1:13">
      <c r="A10" s="380">
        <v>6</v>
      </c>
      <c r="B10" s="381" t="s">
        <v>226</v>
      </c>
      <c r="C10" s="380">
        <v>5846</v>
      </c>
      <c r="D10" s="382" t="s">
        <v>12</v>
      </c>
      <c r="E10" s="383">
        <f>8.15*P6</f>
        <v>8.15</v>
      </c>
      <c r="F10" s="384" t="s">
        <v>221</v>
      </c>
      <c r="G10" s="385">
        <f t="shared" si="0"/>
        <v>47644.9</v>
      </c>
      <c r="H10" s="386">
        <v>0.17</v>
      </c>
      <c r="I10" s="399">
        <f t="shared" si="1"/>
        <v>6922.76324786325</v>
      </c>
      <c r="J10" s="382">
        <f>1.52*1326</f>
        <v>2015.52</v>
      </c>
      <c r="K10" s="382" t="s">
        <v>12</v>
      </c>
      <c r="L10" s="382">
        <f>E10*J10</f>
        <v>16426.488</v>
      </c>
      <c r="M10" s="402"/>
    </row>
    <row r="11" spans="1:13">
      <c r="A11" s="380">
        <v>7</v>
      </c>
      <c r="B11" s="381" t="s">
        <v>227</v>
      </c>
      <c r="C11" s="380">
        <v>5026</v>
      </c>
      <c r="D11" s="382" t="s">
        <v>12</v>
      </c>
      <c r="E11" s="383">
        <f>7.75*P6</f>
        <v>7.75</v>
      </c>
      <c r="F11" s="384" t="s">
        <v>221</v>
      </c>
      <c r="G11" s="385">
        <f t="shared" si="0"/>
        <v>38951.5</v>
      </c>
      <c r="H11" s="386">
        <v>0.17</v>
      </c>
      <c r="I11" s="399">
        <f t="shared" si="1"/>
        <v>5659.61965811966</v>
      </c>
      <c r="J11" s="382">
        <f>1.2*1176</f>
        <v>1411.2</v>
      </c>
      <c r="K11" s="382" t="s">
        <v>12</v>
      </c>
      <c r="L11" s="382">
        <f>E11*J11</f>
        <v>10936.8</v>
      </c>
      <c r="M11" s="402"/>
    </row>
    <row r="12" spans="1:13">
      <c r="A12" s="380">
        <v>8</v>
      </c>
      <c r="B12" s="381" t="s">
        <v>228</v>
      </c>
      <c r="C12" s="380">
        <v>3726</v>
      </c>
      <c r="D12" s="382" t="s">
        <v>12</v>
      </c>
      <c r="E12" s="383">
        <f>0.36*P6</f>
        <v>0.36</v>
      </c>
      <c r="F12" s="384" t="s">
        <v>221</v>
      </c>
      <c r="G12" s="385">
        <f t="shared" si="0"/>
        <v>1341.36</v>
      </c>
      <c r="H12" s="386">
        <v>0.13</v>
      </c>
      <c r="I12" s="399">
        <f t="shared" si="1"/>
        <v>154.315752212389</v>
      </c>
      <c r="J12" s="382"/>
      <c r="K12" s="382"/>
      <c r="L12" s="382"/>
      <c r="M12" s="402"/>
    </row>
    <row r="13" spans="1:13">
      <c r="A13" s="380">
        <v>9</v>
      </c>
      <c r="B13" s="381" t="s">
        <v>229</v>
      </c>
      <c r="C13" s="380">
        <v>4535</v>
      </c>
      <c r="D13" s="382" t="s">
        <v>12</v>
      </c>
      <c r="E13" s="383">
        <f>0.32*P6</f>
        <v>0.32</v>
      </c>
      <c r="F13" s="384" t="s">
        <v>221</v>
      </c>
      <c r="G13" s="385">
        <f t="shared" si="0"/>
        <v>1451.2</v>
      </c>
      <c r="H13" s="386">
        <v>0.17</v>
      </c>
      <c r="I13" s="399">
        <f t="shared" si="1"/>
        <v>210.85811965812</v>
      </c>
      <c r="J13" s="382"/>
      <c r="K13" s="382"/>
      <c r="L13" s="382"/>
      <c r="M13" s="402"/>
    </row>
    <row r="14" spans="1:13">
      <c r="A14" s="380">
        <v>10</v>
      </c>
      <c r="B14" s="381" t="s">
        <v>230</v>
      </c>
      <c r="C14" s="380">
        <v>4885</v>
      </c>
      <c r="D14" s="382" t="s">
        <v>12</v>
      </c>
      <c r="E14" s="383">
        <f>0.16*P6</f>
        <v>0.16</v>
      </c>
      <c r="F14" s="384" t="s">
        <v>221</v>
      </c>
      <c r="G14" s="385">
        <f t="shared" si="0"/>
        <v>781.6</v>
      </c>
      <c r="H14" s="386">
        <v>0.17</v>
      </c>
      <c r="I14" s="399">
        <f t="shared" si="1"/>
        <v>113.565811965812</v>
      </c>
      <c r="J14" s="382"/>
      <c r="K14" s="382"/>
      <c r="L14" s="382"/>
      <c r="M14" s="402"/>
    </row>
    <row r="15" spans="1:13">
      <c r="A15" s="380">
        <v>11</v>
      </c>
      <c r="B15" s="381" t="s">
        <v>231</v>
      </c>
      <c r="C15" s="380">
        <v>2300</v>
      </c>
      <c r="D15" s="382" t="s">
        <v>12</v>
      </c>
      <c r="E15" s="383">
        <f>4.07*P6</f>
        <v>4.07</v>
      </c>
      <c r="F15" s="384" t="s">
        <v>221</v>
      </c>
      <c r="G15" s="385">
        <f t="shared" si="0"/>
        <v>9361</v>
      </c>
      <c r="H15" s="386">
        <v>0.17</v>
      </c>
      <c r="I15" s="399">
        <f t="shared" si="1"/>
        <v>1360.1452991453</v>
      </c>
      <c r="J15" s="382"/>
      <c r="K15" s="382"/>
      <c r="L15" s="382"/>
      <c r="M15" s="402"/>
    </row>
    <row r="16" spans="1:13">
      <c r="A16" s="380">
        <v>12</v>
      </c>
      <c r="B16" s="381" t="s">
        <v>232</v>
      </c>
      <c r="C16" s="380">
        <v>17.2</v>
      </c>
      <c r="D16" s="382" t="s">
        <v>233</v>
      </c>
      <c r="E16" s="383">
        <f>212.9*P6</f>
        <v>212.9</v>
      </c>
      <c r="F16" s="384" t="s">
        <v>234</v>
      </c>
      <c r="G16" s="385">
        <f t="shared" si="0"/>
        <v>3661.88</v>
      </c>
      <c r="H16" s="386">
        <v>0.13</v>
      </c>
      <c r="I16" s="399">
        <f t="shared" si="1"/>
        <v>421.278230088496</v>
      </c>
      <c r="J16" s="382"/>
      <c r="K16" s="382"/>
      <c r="L16" s="382"/>
      <c r="M16" s="402"/>
    </row>
    <row r="17" spans="1:13">
      <c r="A17" s="380">
        <v>13</v>
      </c>
      <c r="B17" s="381" t="s">
        <v>235</v>
      </c>
      <c r="C17" s="380">
        <v>50</v>
      </c>
      <c r="D17" s="382" t="s">
        <v>12</v>
      </c>
      <c r="E17" s="383">
        <f>75.9*P6</f>
        <v>75.9</v>
      </c>
      <c r="F17" s="384" t="s">
        <v>221</v>
      </c>
      <c r="G17" s="385">
        <f t="shared" si="0"/>
        <v>3795</v>
      </c>
      <c r="H17" s="386">
        <v>0.13</v>
      </c>
      <c r="I17" s="399">
        <f t="shared" si="1"/>
        <v>436.592920353982</v>
      </c>
      <c r="J17" s="382"/>
      <c r="K17" s="382"/>
      <c r="L17" s="382"/>
      <c r="M17" s="403"/>
    </row>
    <row r="18" spans="1:13">
      <c r="A18" s="380">
        <v>14</v>
      </c>
      <c r="B18" s="387" t="s">
        <v>236</v>
      </c>
      <c r="C18" s="388"/>
      <c r="D18" s="389"/>
      <c r="E18" s="389"/>
      <c r="F18" s="390"/>
      <c r="G18" s="391">
        <f t="shared" ref="G18" si="2">SUM(G5:G17)</f>
        <v>780710.11</v>
      </c>
      <c r="H18" s="388"/>
      <c r="I18" s="389"/>
      <c r="J18" s="389"/>
      <c r="K18" s="389"/>
      <c r="L18" s="389"/>
      <c r="M18" s="390"/>
    </row>
    <row r="19" ht="18" customHeight="1" spans="1:13">
      <c r="A19" s="392">
        <v>15</v>
      </c>
      <c r="B19" s="393" t="s">
        <v>237</v>
      </c>
      <c r="C19" s="388"/>
      <c r="D19" s="389"/>
      <c r="E19" s="389"/>
      <c r="F19" s="389"/>
      <c r="G19" s="389"/>
      <c r="H19" s="390"/>
      <c r="I19" s="404">
        <f>SUM(I5:I17)</f>
        <v>93686.1678624915</v>
      </c>
      <c r="J19" s="405"/>
      <c r="K19" s="406"/>
      <c r="L19" s="406"/>
      <c r="M19" s="407"/>
    </row>
    <row r="20" ht="18" customHeight="1" spans="1:13">
      <c r="A20" s="392">
        <v>16</v>
      </c>
      <c r="B20" s="394" t="s">
        <v>238</v>
      </c>
      <c r="C20" s="388"/>
      <c r="D20" s="389"/>
      <c r="E20" s="389"/>
      <c r="F20" s="389"/>
      <c r="G20" s="389"/>
      <c r="H20" s="389"/>
      <c r="I20" s="389"/>
      <c r="J20" s="389"/>
      <c r="K20" s="390"/>
      <c r="L20" s="394">
        <f t="shared" ref="L20" si="3">SUM(L5:L17)</f>
        <v>27363.288</v>
      </c>
      <c r="M20" s="408" t="s">
        <v>239</v>
      </c>
    </row>
    <row r="21" ht="18" customHeight="1" spans="1:13">
      <c r="A21" s="392">
        <v>17</v>
      </c>
      <c r="B21" s="395" t="s">
        <v>215</v>
      </c>
      <c r="C21" s="388"/>
      <c r="D21" s="389"/>
      <c r="E21" s="389"/>
      <c r="F21" s="389"/>
      <c r="G21" s="389"/>
      <c r="H21" s="389"/>
      <c r="I21" s="389"/>
      <c r="J21" s="389"/>
      <c r="K21" s="389"/>
      <c r="L21" s="390"/>
      <c r="M21" s="409">
        <f>I19+L20</f>
        <v>121049.455862492</v>
      </c>
    </row>
    <row r="22" spans="9:9">
      <c r="I22" s="401"/>
    </row>
  </sheetData>
  <mergeCells count="8">
    <mergeCell ref="B1:L1"/>
    <mergeCell ref="C18:F18"/>
    <mergeCell ref="H18:M18"/>
    <mergeCell ref="C19:H19"/>
    <mergeCell ref="J19:M19"/>
    <mergeCell ref="C20:K20"/>
    <mergeCell ref="C21:L21"/>
    <mergeCell ref="M5:M17"/>
  </mergeCells>
  <hyperlinks>
    <hyperlink ref="O4" location="敏感性分析!A1" display="到敏感性分析"/>
  </hyperlink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92D050"/>
  </sheetPr>
  <dimension ref="A1:W21"/>
  <sheetViews>
    <sheetView workbookViewId="0">
      <selection activeCell="E8" sqref="E8"/>
    </sheetView>
  </sheetViews>
  <sheetFormatPr defaultColWidth="9" defaultRowHeight="14"/>
  <cols>
    <col min="2" max="2" width="17.7545454545455" customWidth="1"/>
    <col min="3" max="3" width="7" customWidth="1"/>
    <col min="4" max="4" width="4.75454545454545" customWidth="1"/>
    <col min="5" max="5" width="4.25454545454545" customWidth="1"/>
    <col min="6" max="6" width="4.5" customWidth="1"/>
    <col min="7" max="23" width="7.25454545454545" customWidth="1"/>
  </cols>
  <sheetData>
    <row r="1" ht="33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22.5" customHeight="1" spans="1:23">
      <c r="A2" s="356" t="s">
        <v>2</v>
      </c>
      <c r="B2" s="356" t="s">
        <v>119</v>
      </c>
      <c r="C2" s="356" t="s">
        <v>241</v>
      </c>
      <c r="D2" s="356" t="s">
        <v>121</v>
      </c>
      <c r="E2" s="356" t="s">
        <v>122</v>
      </c>
      <c r="F2" s="356" t="s">
        <v>123</v>
      </c>
      <c r="G2" s="356" t="s">
        <v>140</v>
      </c>
      <c r="H2" s="356" t="s">
        <v>141</v>
      </c>
      <c r="I2" s="356" t="s">
        <v>142</v>
      </c>
      <c r="J2" s="356" t="s">
        <v>143</v>
      </c>
      <c r="K2" s="356" t="s">
        <v>144</v>
      </c>
      <c r="L2" s="356" t="s">
        <v>145</v>
      </c>
      <c r="M2" s="356" t="s">
        <v>146</v>
      </c>
      <c r="N2" s="356" t="s">
        <v>147</v>
      </c>
      <c r="O2" s="356" t="s">
        <v>148</v>
      </c>
      <c r="P2" s="356" t="s">
        <v>149</v>
      </c>
      <c r="Q2" s="356" t="s">
        <v>150</v>
      </c>
      <c r="R2" s="356" t="s">
        <v>151</v>
      </c>
      <c r="S2" s="356" t="s">
        <v>152</v>
      </c>
      <c r="T2" s="356" t="s">
        <v>153</v>
      </c>
      <c r="U2" s="356" t="s">
        <v>154</v>
      </c>
      <c r="V2" s="356" t="s">
        <v>155</v>
      </c>
      <c r="W2" s="356" t="s">
        <v>156</v>
      </c>
    </row>
    <row r="3" spans="1:23">
      <c r="A3" s="357"/>
      <c r="B3" s="357" t="s">
        <v>242</v>
      </c>
      <c r="C3" s="358"/>
      <c r="D3" s="358"/>
      <c r="E3" s="358"/>
      <c r="F3" s="358"/>
      <c r="G3" s="359">
        <v>0.8</v>
      </c>
      <c r="H3" s="359">
        <v>1</v>
      </c>
      <c r="I3" s="359">
        <v>1</v>
      </c>
      <c r="J3" s="359">
        <v>1</v>
      </c>
      <c r="K3" s="359">
        <v>1</v>
      </c>
      <c r="L3" s="359">
        <v>1</v>
      </c>
      <c r="M3" s="359">
        <v>1</v>
      </c>
      <c r="N3" s="359">
        <v>1</v>
      </c>
      <c r="O3" s="359">
        <v>1</v>
      </c>
      <c r="P3" s="359">
        <v>1</v>
      </c>
      <c r="Q3" s="359">
        <v>1</v>
      </c>
      <c r="R3" s="359">
        <v>1</v>
      </c>
      <c r="S3" s="359">
        <v>1</v>
      </c>
      <c r="T3" s="359">
        <v>1</v>
      </c>
      <c r="U3" s="359">
        <v>1</v>
      </c>
      <c r="V3" s="359">
        <v>1</v>
      </c>
      <c r="W3" s="359">
        <v>1</v>
      </c>
    </row>
    <row r="4" ht="17.25" customHeight="1" spans="1:23">
      <c r="A4" s="360"/>
      <c r="B4" s="360" t="s">
        <v>193</v>
      </c>
      <c r="C4" s="361"/>
      <c r="D4" s="361"/>
      <c r="E4" s="361"/>
      <c r="F4" s="361"/>
      <c r="G4" s="362">
        <f>销售收入!G18*80%</f>
        <v>624568.088</v>
      </c>
      <c r="H4" s="362">
        <f>销售收入!$G$18</f>
        <v>780710.11</v>
      </c>
      <c r="I4" s="362">
        <f>销售收入!$G$18</f>
        <v>780710.11</v>
      </c>
      <c r="J4" s="362">
        <f>销售收入!$G$18</f>
        <v>780710.11</v>
      </c>
      <c r="K4" s="362">
        <f>销售收入!$G$18</f>
        <v>780710.11</v>
      </c>
      <c r="L4" s="362">
        <f>销售收入!$G$18</f>
        <v>780710.11</v>
      </c>
      <c r="M4" s="362">
        <f>销售收入!$G$18</f>
        <v>780710.11</v>
      </c>
      <c r="N4" s="362">
        <f>销售收入!$G$18</f>
        <v>780710.11</v>
      </c>
      <c r="O4" s="362">
        <f>销售收入!$G$18</f>
        <v>780710.11</v>
      </c>
      <c r="P4" s="362">
        <f>销售收入!$G$18</f>
        <v>780710.11</v>
      </c>
      <c r="Q4" s="362">
        <f>销售收入!$G$18</f>
        <v>780710.11</v>
      </c>
      <c r="R4" s="362">
        <f>销售收入!$G$18</f>
        <v>780710.11</v>
      </c>
      <c r="S4" s="362">
        <f>销售收入!$G$18</f>
        <v>780710.11</v>
      </c>
      <c r="T4" s="362">
        <f>销售收入!$G$18</f>
        <v>780710.11</v>
      </c>
      <c r="U4" s="362">
        <f>销售收入!$G$18</f>
        <v>780710.11</v>
      </c>
      <c r="V4" s="362">
        <f>销售收入!$G$18</f>
        <v>780710.11</v>
      </c>
      <c r="W4" s="362">
        <f>销售收入!$G$18</f>
        <v>780710.11</v>
      </c>
    </row>
    <row r="5" spans="1:23">
      <c r="A5" s="363" t="s">
        <v>92</v>
      </c>
      <c r="B5" s="364" t="s">
        <v>33</v>
      </c>
      <c r="C5" s="365">
        <f>IF((C6-C7-C8&gt;0),C6-C7-C8,0)</f>
        <v>0</v>
      </c>
      <c r="D5" s="365">
        <f t="shared" ref="D5:H5" si="0">IF((D6-D7-D8&gt;0),D6-D7-D8,0)</f>
        <v>0</v>
      </c>
      <c r="E5" s="365">
        <f t="shared" si="0"/>
        <v>0</v>
      </c>
      <c r="F5" s="365">
        <f t="shared" si="0"/>
        <v>0</v>
      </c>
      <c r="G5" s="365">
        <f t="shared" si="0"/>
        <v>0</v>
      </c>
      <c r="H5" s="365">
        <f t="shared" si="0"/>
        <v>0</v>
      </c>
      <c r="I5" s="365">
        <f t="shared" ref="I5" si="1">IF((I6-I7-I8&gt;0),I6-I7-I8,0)</f>
        <v>5328.76096643222</v>
      </c>
      <c r="J5" s="365">
        <f t="shared" ref="J5" si="2">IF((J6-J7-J8&gt;0),J6-J7-J8,0)</f>
        <v>47467.2284281825</v>
      </c>
      <c r="K5" s="365">
        <f t="shared" ref="K5" si="3">IF((K6-K7-K8&gt;0),K6-K7-K8,0)</f>
        <v>47467.2284281825</v>
      </c>
      <c r="L5" s="365">
        <f t="shared" ref="L5" si="4">IF((L6-L7-L8&gt;0),L6-L7-L8,0)</f>
        <v>47467.2284281825</v>
      </c>
      <c r="M5" s="365">
        <f t="shared" ref="M5" si="5">IF((M6-M7-M8&gt;0),M6-M7-M8,0)</f>
        <v>47467.2284281825</v>
      </c>
      <c r="N5" s="365">
        <f t="shared" ref="N5" si="6">IF((N6-N7-N8&gt;0),N6-N7-N8,0)</f>
        <v>47467.2284281825</v>
      </c>
      <c r="O5" s="365">
        <f t="shared" ref="O5" si="7">IF((O6-O7-O8&gt;0),O6-O7-O8,0)</f>
        <v>47467.2284281825</v>
      </c>
      <c r="P5" s="365">
        <f t="shared" ref="P5" si="8">IF((P6-P7-P8&gt;0),P6-P7-P8,0)</f>
        <v>47467.2284281825</v>
      </c>
      <c r="Q5" s="365">
        <f t="shared" ref="Q5" si="9">IF((Q6-Q7-Q8&gt;0),Q6-Q7-Q8,0)</f>
        <v>47467.2284281825</v>
      </c>
      <c r="R5" s="365">
        <f t="shared" ref="R5" si="10">IF((R6-R7-R8&gt;0),R6-R7-R8,0)</f>
        <v>47467.2284281825</v>
      </c>
      <c r="S5" s="365">
        <f t="shared" ref="S5" si="11">IF((S6-S7-S8&gt;0),S6-S7-S8,0)</f>
        <v>47467.2284281825</v>
      </c>
      <c r="T5" s="365">
        <f t="shared" ref="T5" si="12">IF((T6-T7-T8&gt;0),T6-T7-T8,0)</f>
        <v>47467.2284281825</v>
      </c>
      <c r="U5" s="365">
        <f t="shared" ref="U5" si="13">IF((U6-U7-U8&gt;0),U6-U7-U8,0)</f>
        <v>47467.2284281825</v>
      </c>
      <c r="V5" s="365">
        <f t="shared" ref="V5" si="14">IF((V6-V7-V8&gt;0),V6-V7-V8,0)</f>
        <v>47467.2284281825</v>
      </c>
      <c r="W5" s="365">
        <f t="shared" ref="W5" si="15">IF((W6-W7-W8&gt;0),W6-W7-W8,0)</f>
        <v>47467.2284281825</v>
      </c>
    </row>
    <row r="6" spans="1:23">
      <c r="A6" s="2">
        <v>1</v>
      </c>
      <c r="B6" s="2" t="s">
        <v>243</v>
      </c>
      <c r="C6" s="366">
        <f>销售收入!I19</f>
        <v>93686.1678624915</v>
      </c>
      <c r="D6" s="119"/>
      <c r="E6" s="119"/>
      <c r="F6" s="119"/>
      <c r="G6" s="119">
        <f>C6*G3</f>
        <v>74948.9342899932</v>
      </c>
      <c r="H6" s="119">
        <f>$C$6</f>
        <v>93686.1678624915</v>
      </c>
      <c r="I6" s="119">
        <f t="shared" ref="I6:W6" si="16">$C$6</f>
        <v>93686.1678624915</v>
      </c>
      <c r="J6" s="371">
        <f t="shared" si="16"/>
        <v>93686.1678624915</v>
      </c>
      <c r="K6" s="119">
        <f t="shared" si="16"/>
        <v>93686.1678624915</v>
      </c>
      <c r="L6" s="119">
        <f t="shared" si="16"/>
        <v>93686.1678624915</v>
      </c>
      <c r="M6" s="119">
        <f t="shared" si="16"/>
        <v>93686.1678624915</v>
      </c>
      <c r="N6" s="119">
        <f t="shared" si="16"/>
        <v>93686.1678624915</v>
      </c>
      <c r="O6" s="119">
        <f t="shared" si="16"/>
        <v>93686.1678624915</v>
      </c>
      <c r="P6" s="119">
        <f t="shared" si="16"/>
        <v>93686.1678624915</v>
      </c>
      <c r="Q6" s="119">
        <f t="shared" si="16"/>
        <v>93686.1678624915</v>
      </c>
      <c r="R6" s="119">
        <f t="shared" si="16"/>
        <v>93686.1678624915</v>
      </c>
      <c r="S6" s="119">
        <f t="shared" si="16"/>
        <v>93686.1678624915</v>
      </c>
      <c r="T6" s="119">
        <f t="shared" si="16"/>
        <v>93686.1678624915</v>
      </c>
      <c r="U6" s="119">
        <f t="shared" si="16"/>
        <v>93686.1678624915</v>
      </c>
      <c r="V6" s="119">
        <f t="shared" si="16"/>
        <v>93686.1678624915</v>
      </c>
      <c r="W6" s="119">
        <f t="shared" si="16"/>
        <v>93686.1678624915</v>
      </c>
    </row>
    <row r="7" spans="1:23">
      <c r="A7" s="2">
        <v>2</v>
      </c>
      <c r="B7" s="2" t="s">
        <v>244</v>
      </c>
      <c r="C7" s="366">
        <f>经营成本!I35</f>
        <v>46218.9394343091</v>
      </c>
      <c r="D7" s="119"/>
      <c r="E7" s="119"/>
      <c r="F7" s="119"/>
      <c r="G7" s="119">
        <f>C7*G3</f>
        <v>36975.1515474472</v>
      </c>
      <c r="H7" s="119">
        <f>$C$7</f>
        <v>46218.9394343091</v>
      </c>
      <c r="I7" s="119">
        <f t="shared" ref="I7:W7" si="17">$C$7</f>
        <v>46218.9394343091</v>
      </c>
      <c r="J7" s="119">
        <f t="shared" si="17"/>
        <v>46218.9394343091</v>
      </c>
      <c r="K7" s="119">
        <f t="shared" si="17"/>
        <v>46218.9394343091</v>
      </c>
      <c r="L7" s="119">
        <f t="shared" si="17"/>
        <v>46218.9394343091</v>
      </c>
      <c r="M7" s="119">
        <f t="shared" si="17"/>
        <v>46218.9394343091</v>
      </c>
      <c r="N7" s="119">
        <f t="shared" si="17"/>
        <v>46218.9394343091</v>
      </c>
      <c r="O7" s="119">
        <f t="shared" si="17"/>
        <v>46218.9394343091</v>
      </c>
      <c r="P7" s="119">
        <f t="shared" si="17"/>
        <v>46218.9394343091</v>
      </c>
      <c r="Q7" s="119">
        <f t="shared" si="17"/>
        <v>46218.9394343091</v>
      </c>
      <c r="R7" s="119">
        <f t="shared" si="17"/>
        <v>46218.9394343091</v>
      </c>
      <c r="S7" s="119">
        <f t="shared" si="17"/>
        <v>46218.9394343091</v>
      </c>
      <c r="T7" s="119">
        <f t="shared" si="17"/>
        <v>46218.9394343091</v>
      </c>
      <c r="U7" s="119">
        <f t="shared" si="17"/>
        <v>46218.9394343091</v>
      </c>
      <c r="V7" s="119">
        <f t="shared" si="17"/>
        <v>46218.9394343091</v>
      </c>
      <c r="W7" s="119">
        <f t="shared" si="17"/>
        <v>46218.9394343091</v>
      </c>
    </row>
    <row r="8" ht="42" spans="1:23">
      <c r="A8" s="2">
        <v>3</v>
      </c>
      <c r="B8" s="367" t="s">
        <v>245</v>
      </c>
      <c r="C8" s="366">
        <f>建设投资!E15/(1+17%)*17%</f>
        <v>127579.478632479</v>
      </c>
      <c r="D8" s="119"/>
      <c r="E8" s="119"/>
      <c r="F8" s="119"/>
      <c r="G8" s="119">
        <f>G6-G7</f>
        <v>37973.782742546</v>
      </c>
      <c r="H8" s="119">
        <f>H6-H7</f>
        <v>47467.2284281825</v>
      </c>
      <c r="I8" s="119">
        <f>C8-G8-H8</f>
        <v>42138.4674617502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v>0</v>
      </c>
      <c r="R8" s="119">
        <v>0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</row>
    <row r="9" spans="1:23">
      <c r="A9" s="363" t="s">
        <v>98</v>
      </c>
      <c r="B9" s="364" t="s">
        <v>246</v>
      </c>
      <c r="C9" s="366"/>
      <c r="D9" s="119"/>
      <c r="E9" s="119"/>
      <c r="F9" s="119"/>
      <c r="G9" s="119">
        <f>G10+G11+G12</f>
        <v>24778.656</v>
      </c>
      <c r="H9" s="119">
        <f t="shared" ref="H9:W9" si="18">H10+H11+H12</f>
        <v>30973.32</v>
      </c>
      <c r="I9" s="119">
        <f t="shared" si="18"/>
        <v>31399.6208773146</v>
      </c>
      <c r="J9" s="119">
        <f t="shared" si="18"/>
        <v>34770.6982742546</v>
      </c>
      <c r="K9" s="119">
        <f t="shared" si="18"/>
        <v>34770.6982742546</v>
      </c>
      <c r="L9" s="119">
        <f t="shared" si="18"/>
        <v>34770.6982742546</v>
      </c>
      <c r="M9" s="119">
        <f t="shared" si="18"/>
        <v>34770.6982742546</v>
      </c>
      <c r="N9" s="119">
        <f t="shared" si="18"/>
        <v>34770.6982742546</v>
      </c>
      <c r="O9" s="119">
        <f t="shared" si="18"/>
        <v>34770.6982742546</v>
      </c>
      <c r="P9" s="119">
        <f t="shared" si="18"/>
        <v>34770.6982742546</v>
      </c>
      <c r="Q9" s="119">
        <f t="shared" si="18"/>
        <v>34770.6982742546</v>
      </c>
      <c r="R9" s="119">
        <f t="shared" si="18"/>
        <v>34770.6982742546</v>
      </c>
      <c r="S9" s="119">
        <f t="shared" si="18"/>
        <v>34770.6982742546</v>
      </c>
      <c r="T9" s="119">
        <f t="shared" si="18"/>
        <v>34770.6982742546</v>
      </c>
      <c r="U9" s="119">
        <f t="shared" si="18"/>
        <v>34770.6982742546</v>
      </c>
      <c r="V9" s="119">
        <f t="shared" si="18"/>
        <v>34770.6982742546</v>
      </c>
      <c r="W9" s="119">
        <f t="shared" si="18"/>
        <v>34770.6982742546</v>
      </c>
    </row>
    <row r="10" spans="1:23">
      <c r="A10" s="2"/>
      <c r="B10" s="2" t="s">
        <v>247</v>
      </c>
      <c r="C10" s="366">
        <v>0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</row>
    <row r="11" spans="1:23">
      <c r="A11" s="2"/>
      <c r="B11" s="2" t="s">
        <v>248</v>
      </c>
      <c r="C11" s="368">
        <v>28679</v>
      </c>
      <c r="D11" s="119"/>
      <c r="E11" s="119"/>
      <c r="F11" s="119"/>
      <c r="G11" s="119">
        <f>C11*G3</f>
        <v>22943.2</v>
      </c>
      <c r="H11" s="119">
        <f>$C$11</f>
        <v>28679</v>
      </c>
      <c r="I11" s="119">
        <f t="shared" ref="I11:W11" si="19">$C$11</f>
        <v>28679</v>
      </c>
      <c r="J11" s="119">
        <f t="shared" si="19"/>
        <v>28679</v>
      </c>
      <c r="K11" s="119">
        <f t="shared" si="19"/>
        <v>28679</v>
      </c>
      <c r="L11" s="119">
        <f t="shared" si="19"/>
        <v>28679</v>
      </c>
      <c r="M11" s="119">
        <f t="shared" si="19"/>
        <v>28679</v>
      </c>
      <c r="N11" s="119">
        <f t="shared" si="19"/>
        <v>28679</v>
      </c>
      <c r="O11" s="119">
        <f t="shared" si="19"/>
        <v>28679</v>
      </c>
      <c r="P11" s="119">
        <f t="shared" si="19"/>
        <v>28679</v>
      </c>
      <c r="Q11" s="119">
        <f t="shared" si="19"/>
        <v>28679</v>
      </c>
      <c r="R11" s="119">
        <f t="shared" si="19"/>
        <v>28679</v>
      </c>
      <c r="S11" s="119">
        <f t="shared" si="19"/>
        <v>28679</v>
      </c>
      <c r="T11" s="119">
        <f t="shared" si="19"/>
        <v>28679</v>
      </c>
      <c r="U11" s="119">
        <f t="shared" si="19"/>
        <v>28679</v>
      </c>
      <c r="V11" s="119">
        <f t="shared" si="19"/>
        <v>28679</v>
      </c>
      <c r="W11" s="119">
        <f t="shared" si="19"/>
        <v>28679</v>
      </c>
    </row>
    <row r="12" spans="1:23">
      <c r="A12" s="2"/>
      <c r="B12" s="2" t="s">
        <v>249</v>
      </c>
      <c r="C12" s="366"/>
      <c r="D12" s="119"/>
      <c r="E12" s="119"/>
      <c r="F12" s="119"/>
      <c r="G12" s="119">
        <f>G13+G14</f>
        <v>1835.456</v>
      </c>
      <c r="H12" s="119">
        <f t="shared" ref="H12:W12" si="20">H13+H14</f>
        <v>2294.32</v>
      </c>
      <c r="I12" s="119">
        <f t="shared" si="20"/>
        <v>2720.62087731458</v>
      </c>
      <c r="J12" s="119">
        <f t="shared" si="20"/>
        <v>6091.6982742546</v>
      </c>
      <c r="K12" s="119">
        <f t="shared" si="20"/>
        <v>6091.6982742546</v>
      </c>
      <c r="L12" s="119">
        <f t="shared" si="20"/>
        <v>6091.6982742546</v>
      </c>
      <c r="M12" s="119">
        <f t="shared" si="20"/>
        <v>6091.6982742546</v>
      </c>
      <c r="N12" s="119">
        <f t="shared" si="20"/>
        <v>6091.6982742546</v>
      </c>
      <c r="O12" s="119">
        <f t="shared" si="20"/>
        <v>6091.6982742546</v>
      </c>
      <c r="P12" s="119">
        <f t="shared" si="20"/>
        <v>6091.6982742546</v>
      </c>
      <c r="Q12" s="119">
        <f t="shared" si="20"/>
        <v>6091.6982742546</v>
      </c>
      <c r="R12" s="119">
        <f t="shared" si="20"/>
        <v>6091.6982742546</v>
      </c>
      <c r="S12" s="119">
        <f t="shared" si="20"/>
        <v>6091.6982742546</v>
      </c>
      <c r="T12" s="119">
        <f t="shared" si="20"/>
        <v>6091.6982742546</v>
      </c>
      <c r="U12" s="119">
        <f t="shared" si="20"/>
        <v>6091.6982742546</v>
      </c>
      <c r="V12" s="119">
        <f t="shared" si="20"/>
        <v>6091.6982742546</v>
      </c>
      <c r="W12" s="119">
        <f t="shared" si="20"/>
        <v>6091.6982742546</v>
      </c>
    </row>
    <row r="13" spans="1:23">
      <c r="A13" s="2"/>
      <c r="B13" s="6" t="s">
        <v>250</v>
      </c>
      <c r="C13" s="369">
        <v>0.05</v>
      </c>
      <c r="D13" s="119"/>
      <c r="E13" s="119"/>
      <c r="F13" s="119"/>
      <c r="G13" s="119">
        <f>(G5+G11)*$C13</f>
        <v>1147.16</v>
      </c>
      <c r="H13" s="119">
        <f t="shared" ref="H13:W13" si="21">(H5+H11)*$C13</f>
        <v>1433.95</v>
      </c>
      <c r="I13" s="119">
        <f t="shared" si="21"/>
        <v>1700.38804832161</v>
      </c>
      <c r="J13" s="119">
        <f t="shared" si="21"/>
        <v>3807.31142140912</v>
      </c>
      <c r="K13" s="119">
        <f t="shared" si="21"/>
        <v>3807.31142140912</v>
      </c>
      <c r="L13" s="119">
        <f t="shared" si="21"/>
        <v>3807.31142140912</v>
      </c>
      <c r="M13" s="119">
        <f t="shared" si="21"/>
        <v>3807.31142140912</v>
      </c>
      <c r="N13" s="119">
        <f t="shared" si="21"/>
        <v>3807.31142140912</v>
      </c>
      <c r="O13" s="119">
        <f t="shared" si="21"/>
        <v>3807.31142140912</v>
      </c>
      <c r="P13" s="119">
        <f t="shared" si="21"/>
        <v>3807.31142140912</v>
      </c>
      <c r="Q13" s="119">
        <f t="shared" si="21"/>
        <v>3807.31142140912</v>
      </c>
      <c r="R13" s="119">
        <f t="shared" si="21"/>
        <v>3807.31142140912</v>
      </c>
      <c r="S13" s="119">
        <f t="shared" si="21"/>
        <v>3807.31142140912</v>
      </c>
      <c r="T13" s="119">
        <f t="shared" si="21"/>
        <v>3807.31142140912</v>
      </c>
      <c r="U13" s="119">
        <f t="shared" si="21"/>
        <v>3807.31142140912</v>
      </c>
      <c r="V13" s="119">
        <f t="shared" si="21"/>
        <v>3807.31142140912</v>
      </c>
      <c r="W13" s="119">
        <f t="shared" si="21"/>
        <v>3807.31142140912</v>
      </c>
    </row>
    <row r="14" spans="1:23">
      <c r="A14" s="2"/>
      <c r="B14" s="6" t="s">
        <v>251</v>
      </c>
      <c r="C14" s="369">
        <v>0.03</v>
      </c>
      <c r="D14" s="119"/>
      <c r="E14" s="119"/>
      <c r="F14" s="119"/>
      <c r="G14" s="119">
        <f>(G5+G10+G11)*$C$14</f>
        <v>688.296</v>
      </c>
      <c r="H14" s="119">
        <f t="shared" ref="H14:W14" si="22">(H5+H10+H11)*$C$14</f>
        <v>860.37</v>
      </c>
      <c r="I14" s="119">
        <f t="shared" si="22"/>
        <v>1020.23282899297</v>
      </c>
      <c r="J14" s="119">
        <f t="shared" si="22"/>
        <v>2284.38685284547</v>
      </c>
      <c r="K14" s="119">
        <f t="shared" si="22"/>
        <v>2284.38685284547</v>
      </c>
      <c r="L14" s="119">
        <f t="shared" si="22"/>
        <v>2284.38685284547</v>
      </c>
      <c r="M14" s="119">
        <f t="shared" si="22"/>
        <v>2284.38685284547</v>
      </c>
      <c r="N14" s="119">
        <f t="shared" si="22"/>
        <v>2284.38685284547</v>
      </c>
      <c r="O14" s="119">
        <f t="shared" si="22"/>
        <v>2284.38685284547</v>
      </c>
      <c r="P14" s="119">
        <f t="shared" si="22"/>
        <v>2284.38685284547</v>
      </c>
      <c r="Q14" s="119">
        <f t="shared" si="22"/>
        <v>2284.38685284547</v>
      </c>
      <c r="R14" s="119">
        <f t="shared" si="22"/>
        <v>2284.38685284547</v>
      </c>
      <c r="S14" s="119">
        <f t="shared" si="22"/>
        <v>2284.38685284547</v>
      </c>
      <c r="T14" s="119">
        <f t="shared" si="22"/>
        <v>2284.38685284547</v>
      </c>
      <c r="U14" s="119">
        <f t="shared" si="22"/>
        <v>2284.38685284547</v>
      </c>
      <c r="V14" s="119">
        <f t="shared" si="22"/>
        <v>2284.38685284547</v>
      </c>
      <c r="W14" s="119">
        <f t="shared" si="22"/>
        <v>2284.38685284547</v>
      </c>
    </row>
    <row r="15" ht="18" customHeight="1" spans="1:23">
      <c r="A15" s="2" t="s">
        <v>100</v>
      </c>
      <c r="B15" s="148" t="s">
        <v>252</v>
      </c>
      <c r="C15" s="119"/>
      <c r="D15" s="119">
        <f>' 损益表'!C21</f>
        <v>0</v>
      </c>
      <c r="E15" s="119">
        <f>' 损益表'!D21</f>
        <v>0</v>
      </c>
      <c r="F15" s="119">
        <f>' 损益表'!E21</f>
        <v>0</v>
      </c>
      <c r="G15" s="119">
        <f>' 损益表'!F21</f>
        <v>19068.0560118985</v>
      </c>
      <c r="H15" s="119">
        <f>' 损益表'!G21</f>
        <v>40177.1658173819</v>
      </c>
      <c r="I15" s="119">
        <f>' 损益表'!H21</f>
        <v>40538.4653987666</v>
      </c>
      <c r="J15" s="119">
        <f>' 损益表'!I21</f>
        <v>28311.2973971434</v>
      </c>
      <c r="K15" s="119">
        <f>' 损益表'!J21</f>
        <v>32650.2127209785</v>
      </c>
      <c r="L15" s="119">
        <f>' 损益表'!K21</f>
        <v>34875.4445200174</v>
      </c>
      <c r="M15" s="119">
        <f>' 损益表'!L21</f>
        <v>36827.6971189624</v>
      </c>
      <c r="N15" s="119">
        <f>' 损益表'!M21</f>
        <v>36190.1808499659</v>
      </c>
      <c r="O15" s="119">
        <f>' 损益表'!N21</f>
        <v>41135.0904331914</v>
      </c>
      <c r="P15" s="119">
        <f>' 损益表'!O21</f>
        <v>43601.1034704602</v>
      </c>
      <c r="Q15" s="119">
        <f>' 损益表'!P21</f>
        <v>46288.3787906841</v>
      </c>
      <c r="R15" s="119">
        <f>' 损益表'!Q21</f>
        <v>43538.3787906841</v>
      </c>
      <c r="S15" s="119">
        <f>' 损益表'!R21</f>
        <v>46288.3787906841</v>
      </c>
      <c r="T15" s="119">
        <f>' 损益表'!S21</f>
        <v>46288.3787906841</v>
      </c>
      <c r="U15" s="119">
        <f>' 损益表'!T21</f>
        <v>46288.3787906841</v>
      </c>
      <c r="V15" s="119">
        <f>' 损益表'!U21</f>
        <v>60286.6741634152</v>
      </c>
      <c r="W15" s="119">
        <f>' 损益表'!V21</f>
        <v>72400.5836205866</v>
      </c>
    </row>
    <row r="16" ht="23.25" customHeight="1" spans="1:23">
      <c r="A16" s="370" t="s">
        <v>253</v>
      </c>
      <c r="B16" s="370" t="s">
        <v>240</v>
      </c>
      <c r="C16" s="119"/>
      <c r="D16" s="119">
        <f>D5+D9</f>
        <v>0</v>
      </c>
      <c r="E16" s="119">
        <f t="shared" ref="E16:W16" si="23">E5+E9</f>
        <v>0</v>
      </c>
      <c r="F16" s="119">
        <f t="shared" si="23"/>
        <v>0</v>
      </c>
      <c r="G16" s="119">
        <f t="shared" si="23"/>
        <v>24778.656</v>
      </c>
      <c r="H16" s="119">
        <f t="shared" si="23"/>
        <v>30973.32</v>
      </c>
      <c r="I16" s="119">
        <f t="shared" si="23"/>
        <v>36728.3818437468</v>
      </c>
      <c r="J16" s="372">
        <f t="shared" si="23"/>
        <v>82237.926702437</v>
      </c>
      <c r="K16" s="119">
        <f t="shared" si="23"/>
        <v>82237.926702437</v>
      </c>
      <c r="L16" s="119">
        <f t="shared" si="23"/>
        <v>82237.926702437</v>
      </c>
      <c r="M16" s="119">
        <f t="shared" si="23"/>
        <v>82237.926702437</v>
      </c>
      <c r="N16" s="119">
        <f t="shared" si="23"/>
        <v>82237.926702437</v>
      </c>
      <c r="O16" s="119">
        <f t="shared" si="23"/>
        <v>82237.926702437</v>
      </c>
      <c r="P16" s="119">
        <f t="shared" si="23"/>
        <v>82237.926702437</v>
      </c>
      <c r="Q16" s="119">
        <f t="shared" si="23"/>
        <v>82237.926702437</v>
      </c>
      <c r="R16" s="119">
        <f t="shared" si="23"/>
        <v>82237.926702437</v>
      </c>
      <c r="S16" s="119">
        <f t="shared" si="23"/>
        <v>82237.926702437</v>
      </c>
      <c r="T16" s="119">
        <f t="shared" si="23"/>
        <v>82237.926702437</v>
      </c>
      <c r="U16" s="119">
        <f t="shared" si="23"/>
        <v>82237.926702437</v>
      </c>
      <c r="V16" s="119">
        <f t="shared" si="23"/>
        <v>82237.926702437</v>
      </c>
      <c r="W16" s="119">
        <f t="shared" si="23"/>
        <v>82237.926702437</v>
      </c>
    </row>
    <row r="17" spans="1:23">
      <c r="A17" s="2"/>
      <c r="B17" s="2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  <row r="18" spans="1:23">
      <c r="A18" s="2"/>
      <c r="B18" s="2" t="s">
        <v>254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</row>
    <row r="19" spans="1:23">
      <c r="A19" s="2"/>
      <c r="B19" s="2" t="s">
        <v>33</v>
      </c>
      <c r="C19" s="119"/>
      <c r="D19" s="119"/>
      <c r="E19" s="119"/>
      <c r="F19" s="119"/>
      <c r="G19" s="119"/>
      <c r="H19" s="119"/>
      <c r="I19" s="119"/>
      <c r="J19" s="373">
        <v>44199</v>
      </c>
      <c r="K19" s="119">
        <f>J5-J19</f>
        <v>3268.22842818245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</row>
    <row r="20" ht="16.5" customHeight="1" spans="1:23">
      <c r="A20" s="2"/>
      <c r="B20" s="2" t="s">
        <v>240</v>
      </c>
      <c r="C20" s="119"/>
      <c r="D20" s="119"/>
      <c r="E20" s="119"/>
      <c r="F20" s="119"/>
      <c r="G20" s="119"/>
      <c r="H20" s="119"/>
      <c r="I20" s="119"/>
      <c r="J20" s="374">
        <v>76522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</row>
    <row r="21" spans="9:10">
      <c r="I21" t="s">
        <v>255</v>
      </c>
      <c r="J21" s="113">
        <f>J5-J19</f>
        <v>3268.22842818245</v>
      </c>
    </row>
  </sheetData>
  <mergeCells count="1">
    <mergeCell ref="A1:I1"/>
  </mergeCells>
  <hyperlinks>
    <hyperlink ref="A1:I1" location="目录!A1" display="销售税金"/>
  </hyperlinks>
  <pageMargins left="0.7" right="0.7" top="0.75" bottom="0.75" header="0.3" footer="0.3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92D050"/>
  </sheetPr>
  <dimension ref="A1:Y28"/>
  <sheetViews>
    <sheetView showZeros="0" topLeftCell="A7" workbookViewId="0">
      <selection activeCell="K28" sqref="K28"/>
    </sheetView>
  </sheetViews>
  <sheetFormatPr defaultColWidth="8" defaultRowHeight="15"/>
  <cols>
    <col min="1" max="1" width="8" style="329" customWidth="1"/>
    <col min="2" max="2" width="18" style="329" customWidth="1"/>
    <col min="3" max="3" width="6.62727272727273" style="67" customWidth="1"/>
    <col min="4" max="4" width="6.5" style="67" customWidth="1"/>
    <col min="5" max="5" width="4.62727272727273" style="67" customWidth="1"/>
    <col min="6" max="6" width="5.12727272727273" style="67" customWidth="1"/>
    <col min="7" max="7" width="4.25454545454545" style="67" customWidth="1"/>
    <col min="8" max="8" width="7.12727272727273" style="330" customWidth="1"/>
    <col min="9" max="24" width="7.12727272727273" style="67" customWidth="1"/>
    <col min="25" max="258" width="12.3727272727273" style="67" customWidth="1"/>
    <col min="259" max="16384" width="8" style="67"/>
  </cols>
  <sheetData>
    <row r="1" ht="36" customHeight="1" spans="1:24">
      <c r="A1" s="42" t="s">
        <v>256</v>
      </c>
      <c r="B1" s="42"/>
      <c r="C1" s="42"/>
      <c r="D1" s="42"/>
      <c r="E1" s="42"/>
      <c r="F1" s="42"/>
      <c r="G1" s="42"/>
      <c r="H1" s="4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ht="123" customHeight="1" spans="1:24">
      <c r="A2" s="331" t="s">
        <v>257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3">
      <c r="A3" s="43" t="s">
        <v>258</v>
      </c>
      <c r="B3" s="43"/>
      <c r="C3" s="43"/>
    </row>
    <row r="4" s="43" customFormat="1" spans="1:24">
      <c r="A4" s="332" t="s">
        <v>2</v>
      </c>
      <c r="B4" s="333" t="s">
        <v>259</v>
      </c>
      <c r="C4" s="334" t="s">
        <v>260</v>
      </c>
      <c r="D4" s="332" t="s">
        <v>261</v>
      </c>
      <c r="E4" s="335" t="s">
        <v>53</v>
      </c>
      <c r="F4" s="335"/>
      <c r="G4" s="335"/>
      <c r="H4" s="336" t="s">
        <v>262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="43" customFormat="1" spans="1:24">
      <c r="A5" s="332"/>
      <c r="B5" s="337"/>
      <c r="C5" s="334"/>
      <c r="D5" s="332"/>
      <c r="E5" s="335"/>
      <c r="F5" s="335"/>
      <c r="G5" s="335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</row>
    <row r="6" s="43" customFormat="1" spans="1:24">
      <c r="A6" s="332"/>
      <c r="B6" s="337"/>
      <c r="C6" s="334"/>
      <c r="D6" s="332"/>
      <c r="E6" s="338" t="s">
        <v>121</v>
      </c>
      <c r="F6" s="338" t="s">
        <v>122</v>
      </c>
      <c r="G6" s="338" t="s">
        <v>123</v>
      </c>
      <c r="H6" s="338" t="s">
        <v>140</v>
      </c>
      <c r="I6" s="338" t="s">
        <v>141</v>
      </c>
      <c r="J6" s="338" t="s">
        <v>142</v>
      </c>
      <c r="K6" s="338" t="s">
        <v>143</v>
      </c>
      <c r="L6" s="338" t="s">
        <v>144</v>
      </c>
      <c r="M6" s="338" t="s">
        <v>145</v>
      </c>
      <c r="N6" s="338" t="s">
        <v>146</v>
      </c>
      <c r="O6" s="338" t="s">
        <v>147</v>
      </c>
      <c r="P6" s="338" t="s">
        <v>148</v>
      </c>
      <c r="Q6" s="338" t="s">
        <v>149</v>
      </c>
      <c r="R6" s="338" t="s">
        <v>150</v>
      </c>
      <c r="S6" s="338" t="s">
        <v>151</v>
      </c>
      <c r="T6" s="338" t="s">
        <v>152</v>
      </c>
      <c r="U6" s="338" t="s">
        <v>153</v>
      </c>
      <c r="V6" s="338" t="s">
        <v>154</v>
      </c>
      <c r="W6" s="338" t="s">
        <v>155</v>
      </c>
      <c r="X6" s="338" t="s">
        <v>156</v>
      </c>
    </row>
    <row r="7" s="327" customFormat="1" spans="1:24">
      <c r="A7" s="332"/>
      <c r="B7" s="26"/>
      <c r="C7" s="339"/>
      <c r="D7" s="339"/>
      <c r="E7" s="340"/>
      <c r="F7" s="340"/>
      <c r="G7" s="340"/>
      <c r="H7" s="341">
        <v>0.8</v>
      </c>
      <c r="I7" s="341">
        <v>1</v>
      </c>
      <c r="J7" s="341">
        <v>1</v>
      </c>
      <c r="K7" s="341">
        <v>1</v>
      </c>
      <c r="L7" s="341">
        <v>1</v>
      </c>
      <c r="M7" s="341">
        <v>1</v>
      </c>
      <c r="N7" s="341">
        <v>1</v>
      </c>
      <c r="O7" s="341">
        <v>1</v>
      </c>
      <c r="P7" s="341">
        <v>1</v>
      </c>
      <c r="Q7" s="341">
        <v>1</v>
      </c>
      <c r="R7" s="341">
        <v>1</v>
      </c>
      <c r="S7" s="341">
        <v>1</v>
      </c>
      <c r="T7" s="341">
        <v>1</v>
      </c>
      <c r="U7" s="341">
        <v>1</v>
      </c>
      <c r="V7" s="341">
        <v>1</v>
      </c>
      <c r="W7" s="341">
        <v>1</v>
      </c>
      <c r="X7" s="341">
        <v>1</v>
      </c>
    </row>
    <row r="8" s="328" customFormat="1" spans="1:24">
      <c r="A8" s="342">
        <v>1</v>
      </c>
      <c r="B8" s="342" t="s">
        <v>263</v>
      </c>
      <c r="C8" s="343"/>
      <c r="D8" s="343"/>
      <c r="E8" s="344"/>
      <c r="F8" s="344"/>
      <c r="G8" s="344"/>
      <c r="H8" s="345">
        <f>H9+H10+H21</f>
        <v>30941.549311698</v>
      </c>
      <c r="I8" s="345">
        <f t="shared" ref="I8:X8" si="0">I9+I10+I21</f>
        <v>36229.355236873</v>
      </c>
      <c r="J8" s="345">
        <f t="shared" si="0"/>
        <v>36229.355236873</v>
      </c>
      <c r="K8" s="345">
        <f t="shared" si="0"/>
        <v>36229.355236873</v>
      </c>
      <c r="L8" s="345">
        <f t="shared" si="0"/>
        <v>36229.355236873</v>
      </c>
      <c r="M8" s="345">
        <f t="shared" si="0"/>
        <v>36229.355236873</v>
      </c>
      <c r="N8" s="345">
        <f t="shared" si="0"/>
        <v>36229.355236873</v>
      </c>
      <c r="O8" s="345">
        <f t="shared" si="0"/>
        <v>36229.355236873</v>
      </c>
      <c r="P8" s="345">
        <f t="shared" si="0"/>
        <v>36229.355236873</v>
      </c>
      <c r="Q8" s="345">
        <f t="shared" si="0"/>
        <v>36229.355236873</v>
      </c>
      <c r="R8" s="345">
        <f t="shared" si="0"/>
        <v>36229.355236873</v>
      </c>
      <c r="S8" s="345">
        <f t="shared" si="0"/>
        <v>36229.355236873</v>
      </c>
      <c r="T8" s="345">
        <f t="shared" si="0"/>
        <v>36229.355236873</v>
      </c>
      <c r="U8" s="345">
        <f t="shared" si="0"/>
        <v>36229.355236873</v>
      </c>
      <c r="V8" s="345">
        <f t="shared" si="0"/>
        <v>36229.355236873</v>
      </c>
      <c r="W8" s="345">
        <f t="shared" si="0"/>
        <v>36229.355236873</v>
      </c>
      <c r="X8" s="345">
        <f t="shared" si="0"/>
        <v>36229.355236873</v>
      </c>
    </row>
    <row r="9" s="43" customFormat="1" spans="1:24">
      <c r="A9" s="346">
        <v>1.1</v>
      </c>
      <c r="B9" s="346" t="s">
        <v>264</v>
      </c>
      <c r="C9" s="347">
        <v>20</v>
      </c>
      <c r="D9" s="347">
        <f>360/C9</f>
        <v>18</v>
      </c>
      <c r="E9" s="344"/>
      <c r="F9" s="344"/>
      <c r="G9" s="344"/>
      <c r="H9" s="345">
        <f>(经营成本!M35)/$D$9</f>
        <v>18604.4979009322</v>
      </c>
      <c r="I9" s="345">
        <f>(经营成本!N35)/$D$9</f>
        <v>22422.3125262099</v>
      </c>
      <c r="J9" s="345">
        <f>(经营成本!O35)/$D$9</f>
        <v>22422.3125262099</v>
      </c>
      <c r="K9" s="345">
        <f>(经营成本!P35)/$D$9</f>
        <v>22422.3125262099</v>
      </c>
      <c r="L9" s="345">
        <f>(经营成本!Q35)/$D$9</f>
        <v>22422.3125262099</v>
      </c>
      <c r="M9" s="345">
        <f>(经营成本!R35)/$D$9</f>
        <v>22422.3125262099</v>
      </c>
      <c r="N9" s="345">
        <f>(经营成本!S35)/$D$9</f>
        <v>22422.3125262099</v>
      </c>
      <c r="O9" s="345">
        <f>(经营成本!T35)/$D$9</f>
        <v>22422.3125262099</v>
      </c>
      <c r="P9" s="345">
        <f>(经营成本!U35)/$D$9</f>
        <v>22422.3125262099</v>
      </c>
      <c r="Q9" s="345">
        <f>(经营成本!V35)/$D$9</f>
        <v>22422.3125262099</v>
      </c>
      <c r="R9" s="345">
        <f>(经营成本!W35)/$D$9</f>
        <v>22422.3125262099</v>
      </c>
      <c r="S9" s="345">
        <f>(经营成本!X35)/$D$9</f>
        <v>22422.3125262099</v>
      </c>
      <c r="T9" s="345">
        <f>(经营成本!Y35)/$D$9</f>
        <v>22422.3125262099</v>
      </c>
      <c r="U9" s="345">
        <f>(经营成本!Z35)/$D$9</f>
        <v>22422.3125262099</v>
      </c>
      <c r="V9" s="345">
        <f>(经营成本!AA35)/$D$9</f>
        <v>22422.3125262099</v>
      </c>
      <c r="W9" s="345">
        <f>(经营成本!AB35)/$D$9</f>
        <v>22422.3125262099</v>
      </c>
      <c r="X9" s="345">
        <f>(经营成本!AC35)/$D$9</f>
        <v>22422.3125262099</v>
      </c>
    </row>
    <row r="10" s="43" customFormat="1" spans="1:24">
      <c r="A10" s="346">
        <v>1.2</v>
      </c>
      <c r="B10" s="346" t="s">
        <v>265</v>
      </c>
      <c r="C10" s="347"/>
      <c r="D10" s="347"/>
      <c r="E10" s="344"/>
      <c r="F10" s="344"/>
      <c r="G10" s="344"/>
      <c r="H10" s="345">
        <f>H11+H16+H17+H18+H19+H20</f>
        <v>11282.3411860992</v>
      </c>
      <c r="I10" s="345">
        <f t="shared" ref="I10:X10" si="1">I11+I16+I17+I18+I19+I20</f>
        <v>12747.9952076075</v>
      </c>
      <c r="J10" s="345">
        <f t="shared" si="1"/>
        <v>12747.9952076075</v>
      </c>
      <c r="K10" s="345">
        <f t="shared" si="1"/>
        <v>12747.9952076075</v>
      </c>
      <c r="L10" s="345">
        <f t="shared" si="1"/>
        <v>12747.9952076075</v>
      </c>
      <c r="M10" s="345">
        <f t="shared" si="1"/>
        <v>12747.9952076075</v>
      </c>
      <c r="N10" s="345">
        <f t="shared" si="1"/>
        <v>12747.9952076075</v>
      </c>
      <c r="O10" s="345">
        <f t="shared" si="1"/>
        <v>12747.9952076075</v>
      </c>
      <c r="P10" s="345">
        <f t="shared" si="1"/>
        <v>12747.9952076075</v>
      </c>
      <c r="Q10" s="345">
        <f t="shared" si="1"/>
        <v>12747.9952076075</v>
      </c>
      <c r="R10" s="345">
        <f t="shared" si="1"/>
        <v>12747.9952076075</v>
      </c>
      <c r="S10" s="345">
        <f t="shared" si="1"/>
        <v>12747.9952076075</v>
      </c>
      <c r="T10" s="345">
        <f t="shared" si="1"/>
        <v>12747.9952076075</v>
      </c>
      <c r="U10" s="345">
        <f t="shared" si="1"/>
        <v>12747.9952076075</v>
      </c>
      <c r="V10" s="345">
        <f t="shared" si="1"/>
        <v>12747.9952076075</v>
      </c>
      <c r="W10" s="345">
        <f t="shared" si="1"/>
        <v>12747.9952076075</v>
      </c>
      <c r="X10" s="345">
        <f t="shared" si="1"/>
        <v>12747.9952076075</v>
      </c>
    </row>
    <row r="11" spans="1:24">
      <c r="A11" s="47" t="s">
        <v>266</v>
      </c>
      <c r="B11" s="47" t="s">
        <v>267</v>
      </c>
      <c r="C11" s="347"/>
      <c r="D11" s="347"/>
      <c r="E11" s="344"/>
      <c r="F11" s="344"/>
      <c r="G11" s="344"/>
      <c r="H11" s="345">
        <f>H12+H13+H14+H15</f>
        <v>3590.11555555556</v>
      </c>
      <c r="I11" s="345">
        <f t="shared" ref="I11:X11" si="2">I12+I13+I14+I15</f>
        <v>4487.64444444444</v>
      </c>
      <c r="J11" s="345">
        <f t="shared" si="2"/>
        <v>4487.64444444444</v>
      </c>
      <c r="K11" s="345">
        <f t="shared" si="2"/>
        <v>4487.64444444444</v>
      </c>
      <c r="L11" s="345">
        <f t="shared" si="2"/>
        <v>4487.64444444444</v>
      </c>
      <c r="M11" s="345">
        <f t="shared" si="2"/>
        <v>4487.64444444444</v>
      </c>
      <c r="N11" s="345">
        <f t="shared" si="2"/>
        <v>4487.64444444444</v>
      </c>
      <c r="O11" s="345">
        <f t="shared" si="2"/>
        <v>4487.64444444444</v>
      </c>
      <c r="P11" s="345">
        <f t="shared" si="2"/>
        <v>4487.64444444444</v>
      </c>
      <c r="Q11" s="345">
        <f t="shared" si="2"/>
        <v>4487.64444444444</v>
      </c>
      <c r="R11" s="345">
        <f t="shared" si="2"/>
        <v>4487.64444444444</v>
      </c>
      <c r="S11" s="345">
        <f t="shared" si="2"/>
        <v>4487.64444444444</v>
      </c>
      <c r="T11" s="345">
        <f t="shared" si="2"/>
        <v>4487.64444444444</v>
      </c>
      <c r="U11" s="345">
        <f t="shared" si="2"/>
        <v>4487.64444444444</v>
      </c>
      <c r="V11" s="345">
        <f t="shared" si="2"/>
        <v>4487.64444444444</v>
      </c>
      <c r="W11" s="345">
        <f t="shared" si="2"/>
        <v>4487.64444444444</v>
      </c>
      <c r="X11" s="345">
        <f t="shared" si="2"/>
        <v>4487.64444444444</v>
      </c>
    </row>
    <row r="12" spans="1:25">
      <c r="A12" s="47"/>
      <c r="B12" s="47" t="s">
        <v>268</v>
      </c>
      <c r="C12" s="347">
        <v>5</v>
      </c>
      <c r="D12" s="347">
        <f t="shared" ref="D12:D23" si="3">360/C12</f>
        <v>72</v>
      </c>
      <c r="E12" s="344"/>
      <c r="F12" s="344"/>
      <c r="G12" s="344"/>
      <c r="H12" s="345">
        <f>经营成本!M9/$D$12</f>
        <v>1139</v>
      </c>
      <c r="I12" s="345">
        <f>经营成本!N9/$D$12</f>
        <v>1423.75</v>
      </c>
      <c r="J12" s="345">
        <f>经营成本!O9/$D$12</f>
        <v>1423.75</v>
      </c>
      <c r="K12" s="345">
        <f>经营成本!P9/$D$12</f>
        <v>1423.75</v>
      </c>
      <c r="L12" s="345">
        <f>经营成本!Q9/$D$12</f>
        <v>1423.75</v>
      </c>
      <c r="M12" s="345">
        <f>经营成本!R9/$D$12</f>
        <v>1423.75</v>
      </c>
      <c r="N12" s="345">
        <f>经营成本!S9/$D$12</f>
        <v>1423.75</v>
      </c>
      <c r="O12" s="345">
        <f>经营成本!T9/$D$12</f>
        <v>1423.75</v>
      </c>
      <c r="P12" s="345">
        <f>经营成本!U9/$D$12</f>
        <v>1423.75</v>
      </c>
      <c r="Q12" s="345">
        <f>经营成本!V9/$D$12</f>
        <v>1423.75</v>
      </c>
      <c r="R12" s="345">
        <f>经营成本!W9/$D$12</f>
        <v>1423.75</v>
      </c>
      <c r="S12" s="345">
        <f>经营成本!X9/$D$12</f>
        <v>1423.75</v>
      </c>
      <c r="T12" s="345">
        <f>经营成本!Y9/$D$12</f>
        <v>1423.75</v>
      </c>
      <c r="U12" s="345">
        <f>经营成本!Z9/$D$12</f>
        <v>1423.75</v>
      </c>
      <c r="V12" s="345">
        <f>经营成本!AA9/$D$12</f>
        <v>1423.75</v>
      </c>
      <c r="W12" s="345">
        <f>经营成本!AB9/$D$12</f>
        <v>1423.75</v>
      </c>
      <c r="X12" s="345">
        <f>经营成本!AC9/$D$12</f>
        <v>1423.75</v>
      </c>
      <c r="Y12" s="353"/>
    </row>
    <row r="13" spans="1:25">
      <c r="A13" s="47"/>
      <c r="B13" s="47" t="s">
        <v>269</v>
      </c>
      <c r="C13" s="347">
        <v>5</v>
      </c>
      <c r="D13" s="347">
        <f t="shared" si="3"/>
        <v>72</v>
      </c>
      <c r="E13" s="344"/>
      <c r="F13" s="344"/>
      <c r="G13" s="344"/>
      <c r="H13" s="345">
        <f>经营成本!M10/$D$13</f>
        <v>1005.35555555556</v>
      </c>
      <c r="I13" s="345">
        <f>经营成本!N10/$D$13</f>
        <v>1256.69444444444</v>
      </c>
      <c r="J13" s="345">
        <f>经营成本!O10/$D$13</f>
        <v>1256.69444444444</v>
      </c>
      <c r="K13" s="345">
        <f>经营成本!P10/$D$13</f>
        <v>1256.69444444444</v>
      </c>
      <c r="L13" s="345">
        <f>经营成本!Q10/$D$13</f>
        <v>1256.69444444444</v>
      </c>
      <c r="M13" s="345">
        <f>经营成本!R10/$D$13</f>
        <v>1256.69444444444</v>
      </c>
      <c r="N13" s="345">
        <f>经营成本!S10/$D$13</f>
        <v>1256.69444444444</v>
      </c>
      <c r="O13" s="345">
        <f>经营成本!T10/$D$13</f>
        <v>1256.69444444444</v>
      </c>
      <c r="P13" s="345">
        <f>经营成本!U10/$D$13</f>
        <v>1256.69444444444</v>
      </c>
      <c r="Q13" s="345">
        <f>经营成本!V10/$D$13</f>
        <v>1256.69444444444</v>
      </c>
      <c r="R13" s="345">
        <f>经营成本!W10/$D$13</f>
        <v>1256.69444444444</v>
      </c>
      <c r="S13" s="345">
        <f>经营成本!X10/$D$13</f>
        <v>1256.69444444444</v>
      </c>
      <c r="T13" s="345">
        <f>经营成本!Y10/$D$13</f>
        <v>1256.69444444444</v>
      </c>
      <c r="U13" s="345">
        <f>经营成本!Z10/$D$13</f>
        <v>1256.69444444444</v>
      </c>
      <c r="V13" s="345">
        <f>经营成本!AA10/$D$13</f>
        <v>1256.69444444444</v>
      </c>
      <c r="W13" s="345">
        <f>经营成本!AB10/$D$13</f>
        <v>1256.69444444444</v>
      </c>
      <c r="X13" s="345">
        <f>经营成本!AC10/$D$13</f>
        <v>1256.69444444444</v>
      </c>
      <c r="Y13" s="353"/>
    </row>
    <row r="14" spans="1:25">
      <c r="A14" s="47"/>
      <c r="B14" s="47" t="s">
        <v>162</v>
      </c>
      <c r="C14" s="347">
        <v>45</v>
      </c>
      <c r="D14" s="347">
        <f t="shared" si="3"/>
        <v>8</v>
      </c>
      <c r="E14" s="344"/>
      <c r="F14" s="344"/>
      <c r="G14" s="344"/>
      <c r="H14" s="345">
        <f>经营成本!M11/$D$14</f>
        <v>1400</v>
      </c>
      <c r="I14" s="345">
        <f>经营成本!N11/$D$14</f>
        <v>1750</v>
      </c>
      <c r="J14" s="345">
        <f>经营成本!O11/$D$14</f>
        <v>1750</v>
      </c>
      <c r="K14" s="345">
        <f>经营成本!P11/$D$14</f>
        <v>1750</v>
      </c>
      <c r="L14" s="345">
        <f>经营成本!Q11/$D$14</f>
        <v>1750</v>
      </c>
      <c r="M14" s="345">
        <f>经营成本!R11/$D$14</f>
        <v>1750</v>
      </c>
      <c r="N14" s="345">
        <f>经营成本!S11/$D$14</f>
        <v>1750</v>
      </c>
      <c r="O14" s="345">
        <f>经营成本!T11/$D$14</f>
        <v>1750</v>
      </c>
      <c r="P14" s="345">
        <f>经营成本!U11/$D$14</f>
        <v>1750</v>
      </c>
      <c r="Q14" s="345">
        <f>经营成本!V11/$D$14</f>
        <v>1750</v>
      </c>
      <c r="R14" s="345">
        <f>经营成本!W11/$D$14</f>
        <v>1750</v>
      </c>
      <c r="S14" s="345">
        <f>经营成本!X11/$D$14</f>
        <v>1750</v>
      </c>
      <c r="T14" s="345">
        <f>经营成本!Y11/$D$14</f>
        <v>1750</v>
      </c>
      <c r="U14" s="345">
        <f>经营成本!Z11/$D$14</f>
        <v>1750</v>
      </c>
      <c r="V14" s="345">
        <f>经营成本!AA11/$D$14</f>
        <v>1750</v>
      </c>
      <c r="W14" s="345">
        <f>经营成本!AB11/$D$14</f>
        <v>1750</v>
      </c>
      <c r="X14" s="345">
        <f>经营成本!AC11/$D$14</f>
        <v>1750</v>
      </c>
      <c r="Y14" s="353"/>
    </row>
    <row r="15" spans="1:25">
      <c r="A15" s="47"/>
      <c r="B15" s="47" t="s">
        <v>165</v>
      </c>
      <c r="C15" s="347">
        <v>15</v>
      </c>
      <c r="D15" s="347">
        <f t="shared" si="3"/>
        <v>24</v>
      </c>
      <c r="E15" s="344"/>
      <c r="F15" s="344"/>
      <c r="G15" s="344"/>
      <c r="H15" s="345">
        <f>经营成本!M12/流动资金!$D$15</f>
        <v>45.76</v>
      </c>
      <c r="I15" s="345">
        <f>经营成本!N12/流动资金!$D$15</f>
        <v>57.2</v>
      </c>
      <c r="J15" s="345">
        <f>经营成本!O12/流动资金!$D$15</f>
        <v>57.2</v>
      </c>
      <c r="K15" s="345">
        <f>经营成本!P12/流动资金!$D$15</f>
        <v>57.2</v>
      </c>
      <c r="L15" s="345">
        <f>经营成本!Q12/流动资金!$D$15</f>
        <v>57.2</v>
      </c>
      <c r="M15" s="345">
        <f>经营成本!R12/流动资金!$D$15</f>
        <v>57.2</v>
      </c>
      <c r="N15" s="345">
        <f>经营成本!S12/流动资金!$D$15</f>
        <v>57.2</v>
      </c>
      <c r="O15" s="345">
        <f>经营成本!T12/流动资金!$D$15</f>
        <v>57.2</v>
      </c>
      <c r="P15" s="345">
        <f>经营成本!U12/流动资金!$D$15</f>
        <v>57.2</v>
      </c>
      <c r="Q15" s="345">
        <f>经营成本!V12/流动资金!$D$15</f>
        <v>57.2</v>
      </c>
      <c r="R15" s="345">
        <f>经营成本!W12/流动资金!$D$15</f>
        <v>57.2</v>
      </c>
      <c r="S15" s="345">
        <f>经营成本!X12/流动资金!$D$15</f>
        <v>57.2</v>
      </c>
      <c r="T15" s="345">
        <f>经营成本!Y12/流动资金!$D$15</f>
        <v>57.2</v>
      </c>
      <c r="U15" s="345">
        <f>经营成本!Z12/流动资金!$D$15</f>
        <v>57.2</v>
      </c>
      <c r="V15" s="345">
        <f>经营成本!AA12/流动资金!$D$15</f>
        <v>57.2</v>
      </c>
      <c r="W15" s="345">
        <f>经营成本!AB12/流动资金!$D$15</f>
        <v>57.2</v>
      </c>
      <c r="X15" s="345">
        <f>经营成本!AC12/流动资金!$D$15</f>
        <v>57.2</v>
      </c>
      <c r="Y15" s="353"/>
    </row>
    <row r="16" spans="1:25">
      <c r="A16" s="47" t="s">
        <v>270</v>
      </c>
      <c r="B16" s="47" t="s">
        <v>271</v>
      </c>
      <c r="C16" s="347">
        <v>0</v>
      </c>
      <c r="D16" s="347"/>
      <c r="E16" s="344"/>
      <c r="F16" s="344"/>
      <c r="G16" s="344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53"/>
    </row>
    <row r="17" spans="1:25">
      <c r="A17" s="47" t="s">
        <v>272</v>
      </c>
      <c r="B17" s="47" t="s">
        <v>273</v>
      </c>
      <c r="C17" s="347">
        <v>1</v>
      </c>
      <c r="D17" s="347">
        <f t="shared" si="3"/>
        <v>360</v>
      </c>
      <c r="E17" s="344"/>
      <c r="F17" s="344"/>
      <c r="G17" s="344"/>
      <c r="H17" s="345">
        <f>(经营成本!M35-经营成本!M37-经营成本!M38-经营成本!M26-经营成本!M40-经营成本!M41)/$D$17</f>
        <v>913.771561713275</v>
      </c>
      <c r="I17" s="345">
        <f>(经营成本!N35-经营成本!N37-经营成本!N38-经营成本!N26-经营成本!N40-经营成本!N41)/$D$17</f>
        <v>1100.54895964383</v>
      </c>
      <c r="J17" s="345">
        <f>(经营成本!O35-经营成本!O37-经营成本!O38-经营成本!O26-经营成本!O40-经营成本!O41)/$D$17</f>
        <v>1100.54895964383</v>
      </c>
      <c r="K17" s="345">
        <f>(经营成本!P35-经营成本!P37-经营成本!P38-经营成本!P26-经营成本!P40-经营成本!P41)/$D$17</f>
        <v>1100.54895964383</v>
      </c>
      <c r="L17" s="345">
        <f>(经营成本!Q35-经营成本!Q37-经营成本!Q38-经营成本!Q26-经营成本!Q40-经营成本!Q41)/$D$17</f>
        <v>1100.54895964383</v>
      </c>
      <c r="M17" s="345">
        <f>(经营成本!R35-经营成本!R37-经营成本!R38-经营成本!R26-经营成本!R40-经营成本!R41)/$D$17</f>
        <v>1100.54895964383</v>
      </c>
      <c r="N17" s="345">
        <f>(经营成本!S35-经营成本!S37-经营成本!S38-经营成本!S26-经营成本!S40-经营成本!S41)/$D$17</f>
        <v>1100.54895964383</v>
      </c>
      <c r="O17" s="345">
        <f>(经营成本!T35-经营成本!T37-经营成本!T38-经营成本!T26-经营成本!T40-经营成本!T41)/$D$17</f>
        <v>1100.54895964383</v>
      </c>
      <c r="P17" s="345">
        <f>(经营成本!U35-经营成本!U37-经营成本!U38-经营成本!U26-经营成本!U40-经营成本!U41)/$D$17</f>
        <v>1100.54895964383</v>
      </c>
      <c r="Q17" s="345">
        <f>(经营成本!V35-经营成本!V37-经营成本!V38-经营成本!V26-经营成本!V40-经营成本!V41)/$D$17</f>
        <v>1100.54895964383</v>
      </c>
      <c r="R17" s="345">
        <f>(经营成本!W35-经营成本!W37-经营成本!W38-经营成本!W26-经营成本!W40-经营成本!W41)/$D$17</f>
        <v>1100.54895964383</v>
      </c>
      <c r="S17" s="345">
        <f>(经营成本!X35-经营成本!X37-经营成本!X38-经营成本!X26-经营成本!X40-经营成本!X41)/$D$17</f>
        <v>1100.54895964383</v>
      </c>
      <c r="T17" s="345">
        <f>(经营成本!Y35-经营成本!Y37-经营成本!Y38-经营成本!Y26-经营成本!Y40-经营成本!Y41)/$D$17</f>
        <v>1100.54895964383</v>
      </c>
      <c r="U17" s="345">
        <f>(经营成本!Z35-经营成本!Z37-经营成本!Z38-经营成本!Z26-经营成本!Z40-经营成本!Z41)/$D$17</f>
        <v>1100.54895964383</v>
      </c>
      <c r="V17" s="345">
        <f>(经营成本!AA35-经营成本!AA37-经营成本!AA38-经营成本!AA26-经营成本!AA40-经营成本!AA41)/$D$17</f>
        <v>1100.54895964383</v>
      </c>
      <c r="W17" s="345">
        <f>(经营成本!AB35-经营成本!AB37-经营成本!AB38-经营成本!AB26-经营成本!AB40-经营成本!AB41)/$D$17</f>
        <v>1100.54895964383</v>
      </c>
      <c r="X17" s="345">
        <f>(经营成本!AC35-经营成本!AC37-经营成本!AC38-经营成本!AC26-经营成本!AC40-经营成本!AC41)/$D$17</f>
        <v>1100.54895964383</v>
      </c>
      <c r="Y17" s="353"/>
    </row>
    <row r="18" spans="1:25">
      <c r="A18" s="47" t="s">
        <v>274</v>
      </c>
      <c r="B18" s="47" t="s">
        <v>275</v>
      </c>
      <c r="C18" s="347">
        <v>2</v>
      </c>
      <c r="D18" s="347">
        <f t="shared" si="3"/>
        <v>180</v>
      </c>
      <c r="E18" s="344"/>
      <c r="F18" s="344"/>
      <c r="G18" s="344"/>
      <c r="H18" s="345">
        <f>(经营成本!M35-经营成本!M32)/$D$18</f>
        <v>1858.71487873766</v>
      </c>
      <c r="I18" s="345">
        <f>(经营成本!N35-经营成本!N32)/$D$18</f>
        <v>2240.06261342655</v>
      </c>
      <c r="J18" s="345">
        <f>(经营成本!O35-经营成本!O32)/$D$18</f>
        <v>2240.06261342655</v>
      </c>
      <c r="K18" s="345">
        <f>(经营成本!P35-经营成本!P32)/$D$18</f>
        <v>2240.06261342655</v>
      </c>
      <c r="L18" s="345">
        <f>(经营成本!Q35-经营成本!Q32)/$D$18</f>
        <v>2240.06261342655</v>
      </c>
      <c r="M18" s="345">
        <f>(经营成本!R35-经营成本!R32)/$D$18</f>
        <v>2240.06261342655</v>
      </c>
      <c r="N18" s="345">
        <f>(经营成本!S35-经营成本!S32)/$D$18</f>
        <v>2240.06261342655</v>
      </c>
      <c r="O18" s="345">
        <f>(经营成本!T35-经营成本!T32)/$D$18</f>
        <v>2240.06261342655</v>
      </c>
      <c r="P18" s="345">
        <f>(经营成本!U35-经营成本!U32)/$D$18</f>
        <v>2240.06261342655</v>
      </c>
      <c r="Q18" s="345">
        <f>(经营成本!V35-经营成本!V32)/$D$18</f>
        <v>2240.06261342655</v>
      </c>
      <c r="R18" s="345">
        <f>(经营成本!W35-经营成本!W32)/$D$18</f>
        <v>2240.06261342655</v>
      </c>
      <c r="S18" s="345">
        <f>(经营成本!X35-经营成本!X32)/$D$18</f>
        <v>2240.06261342655</v>
      </c>
      <c r="T18" s="345">
        <f>(经营成本!Y35-经营成本!Y32)/$D$18</f>
        <v>2240.06261342655</v>
      </c>
      <c r="U18" s="345">
        <f>(经营成本!Z35-经营成本!Z32)/$D$18</f>
        <v>2240.06261342655</v>
      </c>
      <c r="V18" s="345">
        <f>(经营成本!AA35-经营成本!AA32)/$D$18</f>
        <v>2240.06261342655</v>
      </c>
      <c r="W18" s="345">
        <f>(经营成本!AB35-经营成本!AB32)/$D$18</f>
        <v>2240.06261342655</v>
      </c>
      <c r="X18" s="345">
        <f>(经营成本!AC35-经营成本!AC32)/$D$18</f>
        <v>2240.06261342655</v>
      </c>
      <c r="Y18" s="353"/>
    </row>
    <row r="19" spans="1:25">
      <c r="A19" s="47" t="s">
        <v>276</v>
      </c>
      <c r="B19" s="47" t="s">
        <v>167</v>
      </c>
      <c r="C19" s="347">
        <v>180</v>
      </c>
      <c r="D19" s="347">
        <f t="shared" si="3"/>
        <v>2</v>
      </c>
      <c r="E19" s="344"/>
      <c r="F19" s="344"/>
      <c r="G19" s="344"/>
      <c r="H19" s="345">
        <f>经营成本!M28*0.25/D19</f>
        <v>4919.73919009272</v>
      </c>
      <c r="I19" s="345">
        <f>经营成本!N28*0.25/$D$19</f>
        <v>4919.73919009272</v>
      </c>
      <c r="J19" s="345">
        <f>经营成本!O28*0.25/$D$19</f>
        <v>4919.73919009272</v>
      </c>
      <c r="K19" s="345">
        <f>经营成本!P28*0.25/$D$19</f>
        <v>4919.73919009272</v>
      </c>
      <c r="L19" s="345">
        <f>经营成本!Q28*0.25/$D$19</f>
        <v>4919.73919009272</v>
      </c>
      <c r="M19" s="345">
        <f>经营成本!R28*0.25/$D$19</f>
        <v>4919.73919009272</v>
      </c>
      <c r="N19" s="345">
        <f>经营成本!S28*0.25/$D$19</f>
        <v>4919.73919009272</v>
      </c>
      <c r="O19" s="345">
        <f>经营成本!T28*0.25/$D$19</f>
        <v>4919.73919009272</v>
      </c>
      <c r="P19" s="345">
        <f>经营成本!U28*0.25/$D$19</f>
        <v>4919.73919009272</v>
      </c>
      <c r="Q19" s="345">
        <f>经营成本!V28*0.25/$D$19</f>
        <v>4919.73919009272</v>
      </c>
      <c r="R19" s="345">
        <f>经营成本!W28*0.25/$D$19</f>
        <v>4919.73919009272</v>
      </c>
      <c r="S19" s="345">
        <f>经营成本!X28*0.25/$D$19</f>
        <v>4919.73919009272</v>
      </c>
      <c r="T19" s="345">
        <f>经营成本!Y28*0.25/$D$19</f>
        <v>4919.73919009272</v>
      </c>
      <c r="U19" s="345">
        <f>经营成本!Z28*0.25/$D$19</f>
        <v>4919.73919009272</v>
      </c>
      <c r="V19" s="345">
        <f>经营成本!AA28*0.25/$D$19</f>
        <v>4919.73919009272</v>
      </c>
      <c r="W19" s="345">
        <f>经营成本!AB28*0.25/$D$19</f>
        <v>4919.73919009272</v>
      </c>
      <c r="X19" s="345">
        <f>经营成本!AC28*0.25/$D$19</f>
        <v>4919.73919009272</v>
      </c>
      <c r="Y19" s="353"/>
    </row>
    <row r="20" spans="1:25">
      <c r="A20" s="47" t="s">
        <v>277</v>
      </c>
      <c r="B20" s="47" t="s">
        <v>278</v>
      </c>
      <c r="C20" s="347">
        <v>0</v>
      </c>
      <c r="D20" s="347"/>
      <c r="E20" s="344"/>
      <c r="F20" s="344"/>
      <c r="G20" s="344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53"/>
    </row>
    <row r="21" s="43" customFormat="1" spans="1:25">
      <c r="A21" s="346">
        <v>1.3</v>
      </c>
      <c r="B21" s="346" t="s">
        <v>279</v>
      </c>
      <c r="C21" s="347">
        <v>20</v>
      </c>
      <c r="D21" s="347">
        <f t="shared" si="3"/>
        <v>18</v>
      </c>
      <c r="E21" s="344"/>
      <c r="F21" s="344"/>
      <c r="G21" s="344"/>
      <c r="H21" s="345">
        <f>(经营成本!M27+经营成本!M30+经营成本!M31+经营成本!M32)/$D$21</f>
        <v>1054.71022466667</v>
      </c>
      <c r="I21" s="345">
        <f>(经营成本!N27+经营成本!N30+经营成本!N31+经营成本!N32)/$D$21</f>
        <v>1059.04750305556</v>
      </c>
      <c r="J21" s="345">
        <f>(经营成本!O27+经营成本!O30+经营成本!O31+经营成本!O32)/$D$21</f>
        <v>1059.04750305556</v>
      </c>
      <c r="K21" s="345">
        <f>(经营成本!P27+经营成本!P30+经营成本!P31+经营成本!P32)/$D$21</f>
        <v>1059.04750305556</v>
      </c>
      <c r="L21" s="345">
        <f>(经营成本!Q27+经营成本!Q30+经营成本!Q31+经营成本!Q32)/$D$21</f>
        <v>1059.04750305556</v>
      </c>
      <c r="M21" s="345">
        <f>(经营成本!R27+经营成本!R30+经营成本!R31+经营成本!R32)/$D$21</f>
        <v>1059.04750305556</v>
      </c>
      <c r="N21" s="345">
        <f>(经营成本!S27+经营成本!S30+经营成本!S31+经营成本!S32)/$D$21</f>
        <v>1059.04750305556</v>
      </c>
      <c r="O21" s="345">
        <f>(经营成本!T27+经营成本!T30+经营成本!T31+经营成本!T32)/$D$21</f>
        <v>1059.04750305556</v>
      </c>
      <c r="P21" s="345">
        <f>(经营成本!U27+经营成本!U30+经营成本!U31+经营成本!U32)/$D$21</f>
        <v>1059.04750305556</v>
      </c>
      <c r="Q21" s="345">
        <f>(经营成本!V27+经营成本!V30+经营成本!V31+经营成本!V32)/$D$21</f>
        <v>1059.04750305556</v>
      </c>
      <c r="R21" s="345">
        <f>(经营成本!W27+经营成本!W30+经营成本!W31+经营成本!W32)/$D$21</f>
        <v>1059.04750305556</v>
      </c>
      <c r="S21" s="345">
        <f>(经营成本!X27+经营成本!X30+经营成本!X31+经营成本!X32)/$D$21</f>
        <v>1059.04750305556</v>
      </c>
      <c r="T21" s="345">
        <f>(经营成本!Y27+经营成本!Y30+经营成本!Y31+经营成本!Y32)/$D$21</f>
        <v>1059.04750305556</v>
      </c>
      <c r="U21" s="345">
        <f>(经营成本!Z27+经营成本!Z30+经营成本!Z31+经营成本!Z32)/$D$21</f>
        <v>1059.04750305556</v>
      </c>
      <c r="V21" s="345">
        <f>(经营成本!AA27+经营成本!AA30+经营成本!AA31+经营成本!AA32)/$D$21</f>
        <v>1059.04750305556</v>
      </c>
      <c r="W21" s="345">
        <f>(经营成本!AB27+经营成本!AB30+经营成本!AB31+经营成本!AB32)/$D$21</f>
        <v>1059.04750305556</v>
      </c>
      <c r="X21" s="345">
        <f>(经营成本!AC27+经营成本!AC30+经营成本!AC31+经营成本!AC32)/$D$21</f>
        <v>1059.04750305556</v>
      </c>
      <c r="Y21" s="354"/>
    </row>
    <row r="22" s="328" customFormat="1" spans="1:25">
      <c r="A22" s="342" t="s">
        <v>280</v>
      </c>
      <c r="B22" s="342" t="s">
        <v>281</v>
      </c>
      <c r="C22" s="347"/>
      <c r="D22" s="347"/>
      <c r="E22" s="344"/>
      <c r="F22" s="344"/>
      <c r="G22" s="344"/>
      <c r="H22" s="345">
        <f>H23</f>
        <v>15184.5129333333</v>
      </c>
      <c r="I22" s="345">
        <f t="shared" ref="I22:X22" si="4">I23</f>
        <v>18980.6411666667</v>
      </c>
      <c r="J22" s="345">
        <f t="shared" si="4"/>
        <v>18980.6411666667</v>
      </c>
      <c r="K22" s="345">
        <f t="shared" si="4"/>
        <v>18980.6411666667</v>
      </c>
      <c r="L22" s="345">
        <f t="shared" si="4"/>
        <v>18980.6411666667</v>
      </c>
      <c r="M22" s="345">
        <f t="shared" si="4"/>
        <v>18980.6411666667</v>
      </c>
      <c r="N22" s="345">
        <f t="shared" si="4"/>
        <v>18980.6411666667</v>
      </c>
      <c r="O22" s="345">
        <f t="shared" si="4"/>
        <v>18980.6411666667</v>
      </c>
      <c r="P22" s="345">
        <f t="shared" si="4"/>
        <v>18980.6411666667</v>
      </c>
      <c r="Q22" s="345">
        <f t="shared" si="4"/>
        <v>18980.6411666667</v>
      </c>
      <c r="R22" s="345">
        <f t="shared" si="4"/>
        <v>18980.6411666667</v>
      </c>
      <c r="S22" s="345">
        <f t="shared" si="4"/>
        <v>18980.6411666667</v>
      </c>
      <c r="T22" s="345">
        <f t="shared" si="4"/>
        <v>18980.6411666667</v>
      </c>
      <c r="U22" s="345">
        <f t="shared" si="4"/>
        <v>18980.6411666667</v>
      </c>
      <c r="V22" s="345">
        <f t="shared" si="4"/>
        <v>18980.6411666667</v>
      </c>
      <c r="W22" s="345">
        <f t="shared" si="4"/>
        <v>18980.6411666667</v>
      </c>
      <c r="X22" s="345">
        <f t="shared" si="4"/>
        <v>18980.6411666667</v>
      </c>
      <c r="Y22" s="355"/>
    </row>
    <row r="23" s="43" customFormat="1" spans="1:25">
      <c r="A23" s="47" t="s">
        <v>282</v>
      </c>
      <c r="B23" s="47" t="s">
        <v>283</v>
      </c>
      <c r="C23" s="347">
        <v>20</v>
      </c>
      <c r="D23" s="347">
        <f t="shared" si="3"/>
        <v>18</v>
      </c>
      <c r="E23" s="344"/>
      <c r="F23" s="344"/>
      <c r="G23" s="344"/>
      <c r="H23" s="345">
        <f>(经营成本!M7)/$D$23</f>
        <v>15184.5129333333</v>
      </c>
      <c r="I23" s="345">
        <f>(经营成本!N7)/$D$23</f>
        <v>18980.6411666667</v>
      </c>
      <c r="J23" s="345">
        <f>(经营成本!O7)/$D$23</f>
        <v>18980.6411666667</v>
      </c>
      <c r="K23" s="345">
        <f>(经营成本!P7)/$D$23</f>
        <v>18980.6411666667</v>
      </c>
      <c r="L23" s="345">
        <f>(经营成本!Q7)/$D$23</f>
        <v>18980.6411666667</v>
      </c>
      <c r="M23" s="345">
        <f>(经营成本!R7)/$D$23</f>
        <v>18980.6411666667</v>
      </c>
      <c r="N23" s="345">
        <f>(经营成本!S7)/$D$23</f>
        <v>18980.6411666667</v>
      </c>
      <c r="O23" s="345">
        <f>(经营成本!T7)/$D$23</f>
        <v>18980.6411666667</v>
      </c>
      <c r="P23" s="345">
        <f>(经营成本!U7)/$D$23</f>
        <v>18980.6411666667</v>
      </c>
      <c r="Q23" s="345">
        <f>(经营成本!V7)/$D$23</f>
        <v>18980.6411666667</v>
      </c>
      <c r="R23" s="345">
        <f>(经营成本!W7)/$D$23</f>
        <v>18980.6411666667</v>
      </c>
      <c r="S23" s="345">
        <f>(经营成本!X7)/$D$23</f>
        <v>18980.6411666667</v>
      </c>
      <c r="T23" s="345">
        <f>(经营成本!Y7)/$D$23</f>
        <v>18980.6411666667</v>
      </c>
      <c r="U23" s="345">
        <f>(经营成本!Z7)/$D$23</f>
        <v>18980.6411666667</v>
      </c>
      <c r="V23" s="345">
        <f>(经营成本!AA7)/$D$23</f>
        <v>18980.6411666667</v>
      </c>
      <c r="W23" s="345">
        <f>(经营成本!AB7)/$D$23</f>
        <v>18980.6411666667</v>
      </c>
      <c r="X23" s="345">
        <f>(经营成本!AC7)/$D$23</f>
        <v>18980.6411666667</v>
      </c>
      <c r="Y23" s="354"/>
    </row>
    <row r="24" s="328" customFormat="1" spans="1:25">
      <c r="A24" s="348" t="s">
        <v>284</v>
      </c>
      <c r="B24" s="348" t="s">
        <v>21</v>
      </c>
      <c r="C24" s="347"/>
      <c r="D24" s="347"/>
      <c r="E24" s="344"/>
      <c r="F24" s="344"/>
      <c r="G24" s="344"/>
      <c r="H24" s="345">
        <f>H26*$D$28</f>
        <v>15757.0363783647</v>
      </c>
      <c r="I24" s="345">
        <f t="shared" ref="I24:X24" si="5">I26*$D$28</f>
        <v>17248.7140702064</v>
      </c>
      <c r="J24" s="345">
        <f t="shared" si="5"/>
        <v>17248.7140702064</v>
      </c>
      <c r="K24" s="345">
        <f t="shared" si="5"/>
        <v>17248.7140702064</v>
      </c>
      <c r="L24" s="345">
        <f t="shared" si="5"/>
        <v>17248.7140702064</v>
      </c>
      <c r="M24" s="345">
        <f t="shared" si="5"/>
        <v>17248.7140702064</v>
      </c>
      <c r="N24" s="345">
        <f t="shared" si="5"/>
        <v>17248.7140702064</v>
      </c>
      <c r="O24" s="345">
        <f t="shared" si="5"/>
        <v>17248.7140702064</v>
      </c>
      <c r="P24" s="345">
        <f t="shared" si="5"/>
        <v>17248.7140702064</v>
      </c>
      <c r="Q24" s="345">
        <f t="shared" si="5"/>
        <v>17248.7140702064</v>
      </c>
      <c r="R24" s="345">
        <f t="shared" si="5"/>
        <v>17248.7140702064</v>
      </c>
      <c r="S24" s="345">
        <f t="shared" si="5"/>
        <v>17248.7140702064</v>
      </c>
      <c r="T24" s="345">
        <f t="shared" si="5"/>
        <v>17248.7140702064</v>
      </c>
      <c r="U24" s="345">
        <f t="shared" si="5"/>
        <v>17248.7140702064</v>
      </c>
      <c r="V24" s="345">
        <f t="shared" si="5"/>
        <v>17248.7140702064</v>
      </c>
      <c r="W24" s="345">
        <f t="shared" si="5"/>
        <v>17248.7140702064</v>
      </c>
      <c r="X24" s="345">
        <f t="shared" si="5"/>
        <v>17248.7140702064</v>
      </c>
      <c r="Y24" s="355"/>
    </row>
    <row r="25" s="328" customFormat="1" spans="1:25">
      <c r="A25" s="47" t="s">
        <v>285</v>
      </c>
      <c r="B25" s="47" t="s">
        <v>286</v>
      </c>
      <c r="C25" s="347"/>
      <c r="D25" s="347"/>
      <c r="E25" s="344"/>
      <c r="F25" s="344"/>
      <c r="G25" s="344"/>
      <c r="H25" s="345">
        <f>H24-G24</f>
        <v>15757.0363783647</v>
      </c>
      <c r="I25" s="345">
        <f t="shared" ref="I25:X25" si="6">I24-H24</f>
        <v>1491.67769184166</v>
      </c>
      <c r="J25" s="345">
        <f t="shared" si="6"/>
        <v>0</v>
      </c>
      <c r="K25" s="345">
        <f t="shared" si="6"/>
        <v>0</v>
      </c>
      <c r="L25" s="345">
        <f t="shared" si="6"/>
        <v>0</v>
      </c>
      <c r="M25" s="345">
        <f t="shared" si="6"/>
        <v>0</v>
      </c>
      <c r="N25" s="345">
        <f t="shared" si="6"/>
        <v>0</v>
      </c>
      <c r="O25" s="345">
        <f t="shared" si="6"/>
        <v>0</v>
      </c>
      <c r="P25" s="345">
        <f t="shared" si="6"/>
        <v>0</v>
      </c>
      <c r="Q25" s="345">
        <f t="shared" si="6"/>
        <v>0</v>
      </c>
      <c r="R25" s="345">
        <f t="shared" si="6"/>
        <v>0</v>
      </c>
      <c r="S25" s="345">
        <f t="shared" si="6"/>
        <v>0</v>
      </c>
      <c r="T25" s="345">
        <f t="shared" si="6"/>
        <v>0</v>
      </c>
      <c r="U25" s="345">
        <f t="shared" si="6"/>
        <v>0</v>
      </c>
      <c r="V25" s="345">
        <f t="shared" si="6"/>
        <v>0</v>
      </c>
      <c r="W25" s="345">
        <f t="shared" si="6"/>
        <v>0</v>
      </c>
      <c r="X25" s="345">
        <f t="shared" si="6"/>
        <v>0</v>
      </c>
      <c r="Y25" s="355"/>
    </row>
    <row r="26" spans="1:24">
      <c r="A26" s="349"/>
      <c r="B26" s="349" t="s">
        <v>21</v>
      </c>
      <c r="C26" s="343"/>
      <c r="D26" s="343"/>
      <c r="E26" s="343"/>
      <c r="F26" s="343"/>
      <c r="G26" s="343"/>
      <c r="H26" s="350">
        <f>H8-H22</f>
        <v>15757.0363783647</v>
      </c>
      <c r="I26" s="350">
        <f t="shared" ref="I26:X26" si="7">I8-I22</f>
        <v>17248.7140702064</v>
      </c>
      <c r="J26" s="350">
        <f t="shared" si="7"/>
        <v>17248.7140702064</v>
      </c>
      <c r="K26" s="350">
        <f t="shared" si="7"/>
        <v>17248.7140702064</v>
      </c>
      <c r="L26" s="350">
        <f t="shared" si="7"/>
        <v>17248.7140702064</v>
      </c>
      <c r="M26" s="350">
        <f t="shared" si="7"/>
        <v>17248.7140702064</v>
      </c>
      <c r="N26" s="350">
        <f t="shared" si="7"/>
        <v>17248.7140702064</v>
      </c>
      <c r="O26" s="350">
        <f t="shared" si="7"/>
        <v>17248.7140702064</v>
      </c>
      <c r="P26" s="350">
        <f t="shared" si="7"/>
        <v>17248.7140702064</v>
      </c>
      <c r="Q26" s="350">
        <f t="shared" si="7"/>
        <v>17248.7140702064</v>
      </c>
      <c r="R26" s="350">
        <f t="shared" si="7"/>
        <v>17248.7140702064</v>
      </c>
      <c r="S26" s="350">
        <f t="shared" si="7"/>
        <v>17248.7140702064</v>
      </c>
      <c r="T26" s="350">
        <f t="shared" si="7"/>
        <v>17248.7140702064</v>
      </c>
      <c r="U26" s="350">
        <f t="shared" si="7"/>
        <v>17248.7140702064</v>
      </c>
      <c r="V26" s="350">
        <f t="shared" si="7"/>
        <v>17248.7140702064</v>
      </c>
      <c r="W26" s="350">
        <f t="shared" si="7"/>
        <v>17248.7140702064</v>
      </c>
      <c r="X26" s="350">
        <f t="shared" si="7"/>
        <v>17248.7140702064</v>
      </c>
    </row>
    <row r="28" spans="2:4">
      <c r="B28" s="351" t="s">
        <v>287</v>
      </c>
      <c r="C28" s="352"/>
      <c r="D28" s="352">
        <v>1</v>
      </c>
    </row>
  </sheetData>
  <mergeCells count="9">
    <mergeCell ref="A1:H1"/>
    <mergeCell ref="A2:L2"/>
    <mergeCell ref="A3:C3"/>
    <mergeCell ref="A4:A6"/>
    <mergeCell ref="B4:B6"/>
    <mergeCell ref="C4:C6"/>
    <mergeCell ref="D4:D6"/>
    <mergeCell ref="E4:G5"/>
    <mergeCell ref="H4:X5"/>
  </mergeCells>
  <hyperlinks>
    <hyperlink ref="A1:H1" location="目录!A1" display="流动资金估算表"/>
  </hyperlinks>
  <pageMargins left="0.7" right="0.7" top="0.75" bottom="0.75" header="0.3" footer="0.3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92D050"/>
  </sheetPr>
  <dimension ref="A1:S53"/>
  <sheetViews>
    <sheetView zoomScale="85" zoomScaleNormal="85" workbookViewId="0">
      <selection activeCell="K15" sqref="K15"/>
    </sheetView>
  </sheetViews>
  <sheetFormatPr defaultColWidth="9" defaultRowHeight="12.5"/>
  <cols>
    <col min="1" max="1" width="9" style="271"/>
    <col min="2" max="2" width="25.8727272727273" style="271" customWidth="1"/>
    <col min="3" max="3" width="12.1272727272727" style="271" customWidth="1"/>
    <col min="4" max="10" width="9" style="272"/>
    <col min="11" max="11" width="23.8727272727273" style="272" customWidth="1"/>
    <col min="12" max="12" width="14.3727272727273" style="272" customWidth="1"/>
    <col min="13" max="13" width="9" style="272"/>
    <col min="14" max="14" width="7.75454545454545" style="271" customWidth="1"/>
    <col min="15" max="16384" width="9" style="271"/>
  </cols>
  <sheetData>
    <row r="1" ht="31.5" customHeight="1" spans="1:13">
      <c r="A1" s="273" t="s">
        <v>288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ht="39.75" customHeight="1" spans="1:13">
      <c r="A2" s="275" t="s">
        <v>289</v>
      </c>
      <c r="B2" s="276"/>
      <c r="C2" s="276"/>
      <c r="D2" s="276"/>
      <c r="E2" s="276"/>
      <c r="F2" s="276"/>
      <c r="G2" s="276"/>
      <c r="H2" s="276"/>
      <c r="I2" s="276"/>
      <c r="J2" s="274"/>
      <c r="K2" s="315" t="s">
        <v>290</v>
      </c>
      <c r="L2" s="274"/>
      <c r="M2" s="274"/>
    </row>
    <row r="3" ht="18.75" customHeight="1" spans="1:13">
      <c r="A3" s="277" t="s">
        <v>2</v>
      </c>
      <c r="B3" s="277" t="s">
        <v>291</v>
      </c>
      <c r="C3" s="278"/>
      <c r="D3" s="279" t="s">
        <v>292</v>
      </c>
      <c r="E3" s="279" t="s">
        <v>53</v>
      </c>
      <c r="F3" s="280"/>
      <c r="G3" s="280"/>
      <c r="H3" s="279" t="s">
        <v>262</v>
      </c>
      <c r="I3" s="280"/>
      <c r="J3" s="274"/>
      <c r="K3" s="315"/>
      <c r="L3" s="274"/>
      <c r="M3" s="274"/>
    </row>
    <row r="4" ht="23.25" customHeight="1" spans="1:13">
      <c r="A4" s="277"/>
      <c r="B4" s="277"/>
      <c r="C4" s="278"/>
      <c r="D4" s="279"/>
      <c r="E4" s="279" t="s">
        <v>121</v>
      </c>
      <c r="F4" s="279" t="s">
        <v>122</v>
      </c>
      <c r="G4" s="279" t="s">
        <v>123</v>
      </c>
      <c r="H4" s="279" t="s">
        <v>140</v>
      </c>
      <c r="I4" s="279" t="s">
        <v>141</v>
      </c>
      <c r="J4" s="274"/>
      <c r="K4" s="316" t="s">
        <v>293</v>
      </c>
      <c r="L4" s="317">
        <v>1</v>
      </c>
      <c r="M4" s="274"/>
    </row>
    <row r="5" ht="18.75" customHeight="1" spans="1:13">
      <c r="A5" s="281" t="s">
        <v>294</v>
      </c>
      <c r="B5" s="282" t="s">
        <v>295</v>
      </c>
      <c r="C5" s="283"/>
      <c r="D5" s="284">
        <f t="shared" ref="D5:D9" si="0">IF($L$4=1,D31,N31)</f>
        <v>0</v>
      </c>
      <c r="E5" s="284">
        <f t="shared" ref="D5:E10" si="1">IF($L$4=1,E31,O31)</f>
        <v>0.2</v>
      </c>
      <c r="F5" s="284">
        <f t="shared" ref="F5:F10" si="2">IF($L$4=1,F31,P31)</f>
        <v>0.4</v>
      </c>
      <c r="G5" s="284">
        <f t="shared" ref="G5:G10" si="3">IF($L$4=1,G31,Q31)</f>
        <v>0.4</v>
      </c>
      <c r="H5" s="284">
        <f t="shared" ref="H5:H10" si="4">IF($L$4=1,H31,R31)</f>
        <v>0</v>
      </c>
      <c r="I5" s="284">
        <f t="shared" ref="I5:I10" si="5">IF($L$4=1,I31,S31)</f>
        <v>0</v>
      </c>
      <c r="J5" s="274"/>
      <c r="K5" s="318" t="s">
        <v>296</v>
      </c>
      <c r="L5" s="317"/>
      <c r="M5" s="274"/>
    </row>
    <row r="6" ht="18.75" customHeight="1" spans="1:13">
      <c r="A6" s="285" t="s">
        <v>297</v>
      </c>
      <c r="B6" s="286" t="s">
        <v>91</v>
      </c>
      <c r="C6" s="287"/>
      <c r="D6" s="284">
        <f t="shared" si="1"/>
        <v>2047023</v>
      </c>
      <c r="E6" s="284">
        <f t="shared" si="1"/>
        <v>409404.6</v>
      </c>
      <c r="F6" s="284">
        <f t="shared" si="2"/>
        <v>818809.2</v>
      </c>
      <c r="G6" s="284">
        <f t="shared" si="3"/>
        <v>818809.2</v>
      </c>
      <c r="H6" s="284">
        <f t="shared" si="4"/>
        <v>0</v>
      </c>
      <c r="I6" s="284">
        <f t="shared" si="5"/>
        <v>0</v>
      </c>
      <c r="J6" s="274"/>
      <c r="K6" s="315"/>
      <c r="L6" s="274"/>
      <c r="M6" s="274"/>
    </row>
    <row r="7" ht="18.75" customHeight="1" spans="1:13">
      <c r="A7" s="285"/>
      <c r="B7" s="288" t="s">
        <v>298</v>
      </c>
      <c r="C7" s="289">
        <v>0.7</v>
      </c>
      <c r="D7" s="284">
        <f t="shared" si="0"/>
        <v>1432916.1</v>
      </c>
      <c r="E7" s="284">
        <f t="shared" si="1"/>
        <v>286583.22</v>
      </c>
      <c r="F7" s="284">
        <f t="shared" si="2"/>
        <v>573166.44</v>
      </c>
      <c r="G7" s="284">
        <f t="shared" si="3"/>
        <v>573166.44</v>
      </c>
      <c r="H7" s="284">
        <f t="shared" si="4"/>
        <v>0</v>
      </c>
      <c r="I7" s="284">
        <f t="shared" si="5"/>
        <v>0</v>
      </c>
      <c r="J7" s="274"/>
      <c r="K7" s="315"/>
      <c r="L7" s="274"/>
      <c r="M7" s="274"/>
    </row>
    <row r="8" ht="18.75" customHeight="1" spans="1:13">
      <c r="A8" s="285" t="s">
        <v>299</v>
      </c>
      <c r="B8" s="286" t="s">
        <v>19</v>
      </c>
      <c r="C8" s="290">
        <v>0.049</v>
      </c>
      <c r="D8" s="284">
        <f t="shared" si="0"/>
        <v>93357.8726182849</v>
      </c>
      <c r="E8" s="284">
        <f t="shared" si="1"/>
        <v>7021.28889</v>
      </c>
      <c r="F8" s="284">
        <f t="shared" si="2"/>
        <v>28429.19871561</v>
      </c>
      <c r="G8" s="284">
        <f t="shared" si="3"/>
        <v>57907.3850126749</v>
      </c>
      <c r="H8" s="284">
        <f t="shared" si="4"/>
        <v>0</v>
      </c>
      <c r="I8" s="284">
        <f t="shared" si="5"/>
        <v>0</v>
      </c>
      <c r="J8" s="274"/>
      <c r="K8" s="315"/>
      <c r="L8" s="274"/>
      <c r="M8" s="274"/>
    </row>
    <row r="9" ht="18.75" customHeight="1" spans="1:13">
      <c r="A9" s="285"/>
      <c r="B9" s="288" t="s">
        <v>300</v>
      </c>
      <c r="C9" s="290"/>
      <c r="D9" s="284">
        <f t="shared" si="0"/>
        <v>0</v>
      </c>
      <c r="E9" s="284">
        <f t="shared" si="1"/>
        <v>286583.22</v>
      </c>
      <c r="F9" s="284">
        <f t="shared" si="2"/>
        <v>573166.44</v>
      </c>
      <c r="G9" s="284">
        <f t="shared" si="3"/>
        <v>573166.44</v>
      </c>
      <c r="H9" s="284">
        <f t="shared" si="4"/>
        <v>0</v>
      </c>
      <c r="I9" s="284">
        <f t="shared" si="5"/>
        <v>0</v>
      </c>
      <c r="J9" s="274"/>
      <c r="K9" s="315"/>
      <c r="L9" s="274"/>
      <c r="M9" s="274"/>
    </row>
    <row r="10" ht="18.75" customHeight="1" spans="1:13">
      <c r="A10" s="291"/>
      <c r="B10" s="292" t="s">
        <v>301</v>
      </c>
      <c r="C10" s="290"/>
      <c r="D10" s="284">
        <f t="shared" ref="D10:D26" si="6">IF($L$4=1,D36,N36)</f>
        <v>93357.8726182849</v>
      </c>
      <c r="E10" s="284">
        <f t="shared" si="1"/>
        <v>7021.28889</v>
      </c>
      <c r="F10" s="284">
        <f t="shared" si="2"/>
        <v>28429.19871561</v>
      </c>
      <c r="G10" s="284">
        <f t="shared" si="3"/>
        <v>57907.3850126749</v>
      </c>
      <c r="H10" s="284">
        <f t="shared" si="4"/>
        <v>0</v>
      </c>
      <c r="I10" s="284">
        <f t="shared" si="5"/>
        <v>0</v>
      </c>
      <c r="J10" s="274"/>
      <c r="K10" s="315"/>
      <c r="L10" s="274"/>
      <c r="M10" s="274"/>
    </row>
    <row r="11" ht="18.75" customHeight="1" spans="1:13">
      <c r="A11" s="291"/>
      <c r="B11" s="293" t="s">
        <v>302</v>
      </c>
      <c r="C11" s="290"/>
      <c r="D11" s="284">
        <f t="shared" si="6"/>
        <v>0</v>
      </c>
      <c r="E11" s="284">
        <f t="shared" ref="E11:E26" si="7">IF($L$4=1,E37,O37)</f>
        <v>0</v>
      </c>
      <c r="F11" s="284">
        <f t="shared" ref="F11:F26" si="8">IF($L$4=1,F37,P37)</f>
        <v>293604.50889</v>
      </c>
      <c r="G11" s="284">
        <f t="shared" ref="G11:G26" si="9">IF($L$4=1,G37,Q37)</f>
        <v>895200.14760561</v>
      </c>
      <c r="H11" s="284">
        <f t="shared" ref="H11:H26" si="10">IF($L$4=1,H37,R37)</f>
        <v>1526273.97261829</v>
      </c>
      <c r="I11" s="284">
        <f t="shared" ref="I11:I26" si="11">IF($L$4=1,I37,S37)</f>
        <v>0</v>
      </c>
      <c r="J11" s="274"/>
      <c r="K11" s="315"/>
      <c r="L11" s="274"/>
      <c r="M11" s="274"/>
    </row>
    <row r="12" ht="18.75" customHeight="1" spans="1:13">
      <c r="A12" s="291"/>
      <c r="B12" s="294" t="s">
        <v>303</v>
      </c>
      <c r="C12" s="290"/>
      <c r="D12" s="284">
        <f t="shared" si="6"/>
        <v>0</v>
      </c>
      <c r="E12" s="284">
        <f t="shared" si="7"/>
        <v>293604.50889</v>
      </c>
      <c r="F12" s="284">
        <f t="shared" si="8"/>
        <v>895200.14760561</v>
      </c>
      <c r="G12" s="284">
        <f t="shared" si="9"/>
        <v>1526273.97261829</v>
      </c>
      <c r="H12" s="284">
        <f t="shared" si="10"/>
        <v>0</v>
      </c>
      <c r="I12" s="284">
        <f t="shared" si="11"/>
        <v>0</v>
      </c>
      <c r="J12" s="274"/>
      <c r="K12" s="315"/>
      <c r="L12" s="274"/>
      <c r="M12" s="274"/>
    </row>
    <row r="13" ht="18.75" customHeight="1" spans="1:13">
      <c r="A13" s="285" t="s">
        <v>304</v>
      </c>
      <c r="B13" s="286" t="s">
        <v>21</v>
      </c>
      <c r="C13" s="287"/>
      <c r="D13" s="284">
        <f t="shared" si="6"/>
        <v>17248.7140702064</v>
      </c>
      <c r="E13" s="284">
        <f t="shared" si="7"/>
        <v>0</v>
      </c>
      <c r="F13" s="284">
        <f t="shared" si="8"/>
        <v>0</v>
      </c>
      <c r="G13" s="284">
        <f t="shared" si="9"/>
        <v>0</v>
      </c>
      <c r="H13" s="284">
        <f t="shared" si="10"/>
        <v>15757.0363783647</v>
      </c>
      <c r="I13" s="284">
        <f t="shared" si="11"/>
        <v>1491.67769184166</v>
      </c>
      <c r="J13" s="274"/>
      <c r="K13" s="315"/>
      <c r="L13" s="274"/>
      <c r="M13" s="274"/>
    </row>
    <row r="14" ht="18.75" customHeight="1" spans="1:13">
      <c r="A14" s="291"/>
      <c r="B14" s="286" t="s">
        <v>305</v>
      </c>
      <c r="C14" s="295"/>
      <c r="D14" s="284">
        <f t="shared" si="6"/>
        <v>2157629.58668849</v>
      </c>
      <c r="E14" s="284">
        <f t="shared" si="7"/>
        <v>416425.88889</v>
      </c>
      <c r="F14" s="284">
        <f t="shared" si="8"/>
        <v>847238.39871561</v>
      </c>
      <c r="G14" s="284">
        <f t="shared" si="9"/>
        <v>876716.585012675</v>
      </c>
      <c r="H14" s="284">
        <f t="shared" si="10"/>
        <v>15757.0363783647</v>
      </c>
      <c r="I14" s="284">
        <f t="shared" si="11"/>
        <v>1491.67769184166</v>
      </c>
      <c r="J14" s="274"/>
      <c r="K14" s="315"/>
      <c r="L14" s="274"/>
      <c r="M14" s="274"/>
    </row>
    <row r="15" ht="18.75" customHeight="1" spans="1:13">
      <c r="A15" s="296" t="s">
        <v>280</v>
      </c>
      <c r="B15" s="297" t="s">
        <v>306</v>
      </c>
      <c r="C15" s="298"/>
      <c r="D15" s="284">
        <f t="shared" si="6"/>
        <v>0</v>
      </c>
      <c r="E15" s="284">
        <f t="shared" si="7"/>
        <v>0</v>
      </c>
      <c r="F15" s="284">
        <f t="shared" si="8"/>
        <v>0</v>
      </c>
      <c r="G15" s="284">
        <f t="shared" si="9"/>
        <v>0</v>
      </c>
      <c r="H15" s="284">
        <f t="shared" si="10"/>
        <v>0</v>
      </c>
      <c r="I15" s="284">
        <f t="shared" si="11"/>
        <v>0</v>
      </c>
      <c r="J15" s="274"/>
      <c r="K15" s="315"/>
      <c r="L15" s="274"/>
      <c r="M15" s="274"/>
    </row>
    <row r="16" ht="18.75" customHeight="1" spans="1:13">
      <c r="A16" s="291" t="s">
        <v>282</v>
      </c>
      <c r="B16" s="294" t="s">
        <v>307</v>
      </c>
      <c r="C16" s="287"/>
      <c r="D16" s="284">
        <f t="shared" si="6"/>
        <v>619281.514221062</v>
      </c>
      <c r="E16" s="284">
        <f t="shared" si="7"/>
        <v>122821.38</v>
      </c>
      <c r="F16" s="284">
        <f t="shared" si="8"/>
        <v>245642.76</v>
      </c>
      <c r="G16" s="284">
        <f t="shared" si="9"/>
        <v>245642.76</v>
      </c>
      <c r="H16" s="284">
        <f t="shared" si="10"/>
        <v>4727.11091350941</v>
      </c>
      <c r="I16" s="284">
        <f t="shared" si="11"/>
        <v>447.503307552499</v>
      </c>
      <c r="J16" s="274"/>
      <c r="K16" s="315"/>
      <c r="L16" s="274"/>
      <c r="M16" s="274"/>
    </row>
    <row r="17" ht="18.75" customHeight="1" spans="1:13">
      <c r="A17" s="291" t="s">
        <v>308</v>
      </c>
      <c r="B17" s="294" t="s">
        <v>309</v>
      </c>
      <c r="C17" s="287"/>
      <c r="D17" s="284">
        <f t="shared" si="6"/>
        <v>614106.9</v>
      </c>
      <c r="E17" s="284">
        <f t="shared" si="7"/>
        <v>122821.38</v>
      </c>
      <c r="F17" s="284">
        <f t="shared" si="8"/>
        <v>245642.76</v>
      </c>
      <c r="G17" s="284">
        <f t="shared" si="9"/>
        <v>245642.76</v>
      </c>
      <c r="H17" s="284">
        <f t="shared" si="10"/>
        <v>0</v>
      </c>
      <c r="I17" s="284">
        <f t="shared" si="11"/>
        <v>0</v>
      </c>
      <c r="J17" s="274"/>
      <c r="K17" s="315"/>
      <c r="L17" s="274"/>
      <c r="M17" s="274"/>
    </row>
    <row r="18" ht="18.75" customHeight="1" spans="1:13">
      <c r="A18" s="291" t="s">
        <v>310</v>
      </c>
      <c r="B18" s="294" t="s">
        <v>311</v>
      </c>
      <c r="C18" s="287"/>
      <c r="D18" s="284">
        <f t="shared" si="6"/>
        <v>5174.61422106191</v>
      </c>
      <c r="E18" s="284">
        <f t="shared" si="7"/>
        <v>0</v>
      </c>
      <c r="F18" s="284">
        <f t="shared" si="8"/>
        <v>0</v>
      </c>
      <c r="G18" s="284">
        <f t="shared" si="9"/>
        <v>0</v>
      </c>
      <c r="H18" s="284">
        <f t="shared" si="10"/>
        <v>4727.11091350941</v>
      </c>
      <c r="I18" s="284">
        <f t="shared" si="11"/>
        <v>447.503307552499</v>
      </c>
      <c r="J18" s="274"/>
      <c r="K18" s="315"/>
      <c r="L18" s="274"/>
      <c r="M18" s="274"/>
    </row>
    <row r="19" ht="18.75" customHeight="1" spans="1:13">
      <c r="A19" s="291" t="s">
        <v>312</v>
      </c>
      <c r="B19" s="294" t="s">
        <v>313</v>
      </c>
      <c r="C19" s="287"/>
      <c r="D19" s="284">
        <f t="shared" si="6"/>
        <v>1538348.07246743</v>
      </c>
      <c r="E19" s="284">
        <f t="shared" si="7"/>
        <v>293604.50889</v>
      </c>
      <c r="F19" s="284">
        <f t="shared" si="8"/>
        <v>601595.63871561</v>
      </c>
      <c r="G19" s="284">
        <f t="shared" si="9"/>
        <v>631073.825012675</v>
      </c>
      <c r="H19" s="284">
        <f t="shared" si="10"/>
        <v>11029.9254648553</v>
      </c>
      <c r="I19" s="284">
        <f t="shared" si="11"/>
        <v>1044.17438428916</v>
      </c>
      <c r="J19" s="274"/>
      <c r="K19" s="315"/>
      <c r="L19" s="274"/>
      <c r="M19" s="274"/>
    </row>
    <row r="20" ht="18.75" customHeight="1" spans="1:13">
      <c r="A20" s="291" t="s">
        <v>314</v>
      </c>
      <c r="B20" s="294" t="s">
        <v>315</v>
      </c>
      <c r="C20" s="287"/>
      <c r="D20" s="284">
        <f t="shared" si="6"/>
        <v>1526273.97261829</v>
      </c>
      <c r="E20" s="284">
        <f t="shared" si="7"/>
        <v>293604.50889</v>
      </c>
      <c r="F20" s="284">
        <f t="shared" si="8"/>
        <v>601595.63871561</v>
      </c>
      <c r="G20" s="284">
        <f t="shared" si="9"/>
        <v>631073.825012675</v>
      </c>
      <c r="H20" s="284">
        <f t="shared" si="10"/>
        <v>0</v>
      </c>
      <c r="I20" s="284">
        <f t="shared" si="11"/>
        <v>0</v>
      </c>
      <c r="J20" s="274"/>
      <c r="K20" s="315"/>
      <c r="L20" s="274"/>
      <c r="M20" s="274"/>
    </row>
    <row r="21" ht="18.75" customHeight="1" spans="1:13">
      <c r="A21" s="291"/>
      <c r="B21" s="294" t="s">
        <v>316</v>
      </c>
      <c r="C21" s="287"/>
      <c r="D21" s="284">
        <f t="shared" si="6"/>
        <v>1432916.1</v>
      </c>
      <c r="E21" s="284">
        <f t="shared" si="7"/>
        <v>286583.22</v>
      </c>
      <c r="F21" s="284">
        <f t="shared" si="8"/>
        <v>573166.44</v>
      </c>
      <c r="G21" s="284">
        <f t="shared" si="9"/>
        <v>573166.44</v>
      </c>
      <c r="H21" s="284">
        <f t="shared" si="10"/>
        <v>0</v>
      </c>
      <c r="I21" s="284">
        <f t="shared" si="11"/>
        <v>0</v>
      </c>
      <c r="J21" s="274"/>
      <c r="K21" s="315"/>
      <c r="L21" s="274"/>
      <c r="M21" s="274"/>
    </row>
    <row r="22" ht="18.75" customHeight="1" spans="1:13">
      <c r="A22" s="291"/>
      <c r="B22" s="294" t="s">
        <v>317</v>
      </c>
      <c r="C22" s="287"/>
      <c r="D22" s="284">
        <f t="shared" si="6"/>
        <v>93357.8726182849</v>
      </c>
      <c r="E22" s="284">
        <f t="shared" si="7"/>
        <v>7021.28889</v>
      </c>
      <c r="F22" s="284">
        <f t="shared" si="8"/>
        <v>28429.19871561</v>
      </c>
      <c r="G22" s="284">
        <f t="shared" si="9"/>
        <v>57907.3850126749</v>
      </c>
      <c r="H22" s="284">
        <f t="shared" si="10"/>
        <v>0</v>
      </c>
      <c r="I22" s="284">
        <f t="shared" si="11"/>
        <v>0</v>
      </c>
      <c r="J22" s="274"/>
      <c r="K22" s="315"/>
      <c r="L22" s="274"/>
      <c r="M22" s="274"/>
    </row>
    <row r="23" ht="18.75" customHeight="1" spans="1:13">
      <c r="A23" s="291" t="s">
        <v>318</v>
      </c>
      <c r="B23" s="294" t="s">
        <v>319</v>
      </c>
      <c r="C23" s="287"/>
      <c r="D23" s="284">
        <f t="shared" si="6"/>
        <v>12074.0998491445</v>
      </c>
      <c r="E23" s="284">
        <f t="shared" si="7"/>
        <v>0</v>
      </c>
      <c r="F23" s="284">
        <f t="shared" si="8"/>
        <v>0</v>
      </c>
      <c r="G23" s="284">
        <f t="shared" si="9"/>
        <v>0</v>
      </c>
      <c r="H23" s="284">
        <f t="shared" si="10"/>
        <v>11029.9254648553</v>
      </c>
      <c r="I23" s="284">
        <f t="shared" si="11"/>
        <v>1044.17438428916</v>
      </c>
      <c r="J23" s="274"/>
      <c r="K23" s="315"/>
      <c r="L23" s="274"/>
      <c r="M23" s="274"/>
    </row>
    <row r="24" ht="18.75" customHeight="1" spans="1:13">
      <c r="A24" s="291" t="s">
        <v>320</v>
      </c>
      <c r="B24" s="294" t="s">
        <v>321</v>
      </c>
      <c r="C24" s="287"/>
      <c r="D24" s="284">
        <f t="shared" si="6"/>
        <v>0</v>
      </c>
      <c r="E24" s="284">
        <f t="shared" si="7"/>
        <v>0</v>
      </c>
      <c r="F24" s="284">
        <f t="shared" si="8"/>
        <v>0</v>
      </c>
      <c r="G24" s="284">
        <f t="shared" si="9"/>
        <v>0</v>
      </c>
      <c r="H24" s="284">
        <f t="shared" si="10"/>
        <v>0</v>
      </c>
      <c r="I24" s="284">
        <f t="shared" si="11"/>
        <v>0</v>
      </c>
      <c r="J24" s="274"/>
      <c r="K24" s="315"/>
      <c r="L24" s="274"/>
      <c r="M24" s="274"/>
    </row>
    <row r="25" ht="18.75" customHeight="1" spans="1:13">
      <c r="A25" s="291" t="s">
        <v>322</v>
      </c>
      <c r="B25" s="294" t="s">
        <v>278</v>
      </c>
      <c r="C25" s="287"/>
      <c r="D25" s="284">
        <f t="shared" si="6"/>
        <v>0</v>
      </c>
      <c r="E25" s="284">
        <f t="shared" si="7"/>
        <v>0</v>
      </c>
      <c r="F25" s="284">
        <f t="shared" si="8"/>
        <v>0</v>
      </c>
      <c r="G25" s="284">
        <f t="shared" si="9"/>
        <v>0</v>
      </c>
      <c r="H25" s="284">
        <f t="shared" si="10"/>
        <v>0</v>
      </c>
      <c r="I25" s="284">
        <f t="shared" si="11"/>
        <v>0</v>
      </c>
      <c r="J25" s="274"/>
      <c r="K25" s="315"/>
      <c r="L25" s="274"/>
      <c r="M25" s="274"/>
    </row>
    <row r="26" ht="18.75" customHeight="1" spans="1:13">
      <c r="A26" s="287"/>
      <c r="B26" s="286" t="s">
        <v>305</v>
      </c>
      <c r="C26" s="295"/>
      <c r="D26" s="284">
        <f t="shared" si="6"/>
        <v>2157629.58668849</v>
      </c>
      <c r="E26" s="284">
        <f t="shared" si="7"/>
        <v>416425.88889</v>
      </c>
      <c r="F26" s="284">
        <f t="shared" si="8"/>
        <v>847238.39871561</v>
      </c>
      <c r="G26" s="284">
        <f t="shared" si="9"/>
        <v>876716.585012675</v>
      </c>
      <c r="H26" s="284">
        <f t="shared" si="10"/>
        <v>15757.0363783647</v>
      </c>
      <c r="I26" s="284">
        <f t="shared" si="11"/>
        <v>1491.67769184166</v>
      </c>
      <c r="J26" s="274"/>
      <c r="K26" s="315"/>
      <c r="L26" s="274"/>
      <c r="M26" s="274"/>
    </row>
    <row r="27" ht="18.75" customHeight="1" spans="1:13">
      <c r="A27" s="299"/>
      <c r="B27" s="300"/>
      <c r="C27" s="301"/>
      <c r="D27" s="302"/>
      <c r="E27" s="302"/>
      <c r="F27" s="302"/>
      <c r="G27" s="302"/>
      <c r="H27" s="302"/>
      <c r="I27" s="319"/>
      <c r="J27" s="274"/>
      <c r="K27" s="315"/>
      <c r="L27" s="274"/>
      <c r="M27" s="274"/>
    </row>
    <row r="28" ht="31.5" customHeight="1" spans="1:19">
      <c r="A28" s="303" t="s">
        <v>323</v>
      </c>
      <c r="B28" s="304"/>
      <c r="C28" s="304"/>
      <c r="D28" s="304"/>
      <c r="E28" s="304"/>
      <c r="F28" s="304"/>
      <c r="G28" s="304"/>
      <c r="H28" s="304"/>
      <c r="I28" s="320"/>
      <c r="J28" s="274"/>
      <c r="K28" s="321" t="s">
        <v>324</v>
      </c>
      <c r="L28" s="322"/>
      <c r="M28" s="322"/>
      <c r="N28" s="322"/>
      <c r="O28" s="322"/>
      <c r="P28" s="322"/>
      <c r="Q28" s="322"/>
      <c r="R28" s="322"/>
      <c r="S28" s="325"/>
    </row>
    <row r="29" ht="15.75" customHeight="1" spans="1:19">
      <c r="A29" s="277" t="s">
        <v>2</v>
      </c>
      <c r="B29" s="277" t="s">
        <v>291</v>
      </c>
      <c r="C29" s="278"/>
      <c r="D29" s="279" t="s">
        <v>292</v>
      </c>
      <c r="E29" s="279" t="s">
        <v>53</v>
      </c>
      <c r="F29" s="280"/>
      <c r="G29" s="280"/>
      <c r="H29" s="279" t="s">
        <v>262</v>
      </c>
      <c r="I29" s="280"/>
      <c r="J29" s="323"/>
      <c r="K29" s="277" t="s">
        <v>2</v>
      </c>
      <c r="L29" s="277" t="s">
        <v>291</v>
      </c>
      <c r="M29" s="278"/>
      <c r="N29" s="279" t="s">
        <v>292</v>
      </c>
      <c r="O29" s="279" t="s">
        <v>53</v>
      </c>
      <c r="P29" s="280"/>
      <c r="Q29" s="280"/>
      <c r="R29" s="279" t="s">
        <v>262</v>
      </c>
      <c r="S29" s="280"/>
    </row>
    <row r="30" ht="16.5" customHeight="1" spans="1:19">
      <c r="A30" s="277"/>
      <c r="B30" s="277"/>
      <c r="C30" s="278"/>
      <c r="D30" s="279"/>
      <c r="E30" s="279" t="s">
        <v>121</v>
      </c>
      <c r="F30" s="279" t="s">
        <v>122</v>
      </c>
      <c r="G30" s="279" t="s">
        <v>123</v>
      </c>
      <c r="H30" s="279" t="s">
        <v>140</v>
      </c>
      <c r="I30" s="279" t="s">
        <v>141</v>
      </c>
      <c r="J30" s="323"/>
      <c r="K30" s="277"/>
      <c r="L30" s="277"/>
      <c r="M30" s="278"/>
      <c r="N30" s="279"/>
      <c r="O30" s="279" t="s">
        <v>121</v>
      </c>
      <c r="P30" s="279" t="s">
        <v>122</v>
      </c>
      <c r="Q30" s="279" t="s">
        <v>123</v>
      </c>
      <c r="R30" s="279" t="s">
        <v>140</v>
      </c>
      <c r="S30" s="279" t="s">
        <v>141</v>
      </c>
    </row>
    <row r="31" ht="24.75" customHeight="1" spans="1:19">
      <c r="A31" s="281" t="s">
        <v>294</v>
      </c>
      <c r="B31" s="282" t="s">
        <v>295</v>
      </c>
      <c r="C31" s="283"/>
      <c r="D31" s="305"/>
      <c r="E31" s="306">
        <v>0.2</v>
      </c>
      <c r="F31" s="306">
        <v>0.4</v>
      </c>
      <c r="G31" s="306">
        <v>0.4</v>
      </c>
      <c r="H31" s="307"/>
      <c r="I31" s="307"/>
      <c r="K31" s="281" t="s">
        <v>294</v>
      </c>
      <c r="L31" s="282" t="s">
        <v>295</v>
      </c>
      <c r="M31" s="283"/>
      <c r="N31" s="305"/>
      <c r="O31" s="306">
        <v>0.2</v>
      </c>
      <c r="P31" s="306">
        <v>0.4</v>
      </c>
      <c r="Q31" s="306">
        <v>0.4</v>
      </c>
      <c r="R31" s="307"/>
      <c r="S31" s="307"/>
    </row>
    <row r="32" ht="16.5" customHeight="1" spans="1:19">
      <c r="A32" s="285" t="s">
        <v>297</v>
      </c>
      <c r="B32" s="286" t="s">
        <v>91</v>
      </c>
      <c r="C32" s="287"/>
      <c r="D32" s="308">
        <f>建设投资!I14</f>
        <v>2047023</v>
      </c>
      <c r="E32" s="307">
        <f>D32*E31</f>
        <v>409404.6</v>
      </c>
      <c r="F32" s="307">
        <f>D32*F31</f>
        <v>818809.2</v>
      </c>
      <c r="G32" s="307">
        <f>D32*G31</f>
        <v>818809.2</v>
      </c>
      <c r="H32" s="307"/>
      <c r="I32" s="307"/>
      <c r="K32" s="285" t="s">
        <v>297</v>
      </c>
      <c r="L32" s="286" t="s">
        <v>91</v>
      </c>
      <c r="M32" s="287"/>
      <c r="N32" s="324">
        <f>建设投资!I14</f>
        <v>2047023</v>
      </c>
      <c r="O32" s="307">
        <f>N32*O31</f>
        <v>409404.6</v>
      </c>
      <c r="P32" s="307">
        <f>N32*P31</f>
        <v>818809.2</v>
      </c>
      <c r="Q32" s="307">
        <f>N32*Q31</f>
        <v>818809.2</v>
      </c>
      <c r="R32" s="307"/>
      <c r="S32" s="307"/>
    </row>
    <row r="33" ht="16.5" customHeight="1" spans="1:19">
      <c r="A33" s="285"/>
      <c r="B33" s="288" t="s">
        <v>298</v>
      </c>
      <c r="C33" s="289">
        <v>0.7</v>
      </c>
      <c r="D33" s="307">
        <f>D32*C33</f>
        <v>1432916.1</v>
      </c>
      <c r="E33" s="307">
        <f>E32*0.7</f>
        <v>286583.22</v>
      </c>
      <c r="F33" s="307">
        <f t="shared" ref="F33:G33" si="12">F32*0.7</f>
        <v>573166.44</v>
      </c>
      <c r="G33" s="307">
        <f t="shared" si="12"/>
        <v>573166.44</v>
      </c>
      <c r="H33" s="307"/>
      <c r="I33" s="307"/>
      <c r="K33" s="285"/>
      <c r="L33" s="288" t="s">
        <v>298</v>
      </c>
      <c r="M33" s="289">
        <v>0.7</v>
      </c>
      <c r="N33" s="307">
        <f>M33*N32</f>
        <v>1432916.1</v>
      </c>
      <c r="O33" s="307">
        <f>O32*0.7</f>
        <v>286583.22</v>
      </c>
      <c r="P33" s="307">
        <f t="shared" ref="P33:Q33" si="13">P32*0.7</f>
        <v>573166.44</v>
      </c>
      <c r="Q33" s="307">
        <f t="shared" si="13"/>
        <v>573166.44</v>
      </c>
      <c r="R33" s="307"/>
      <c r="S33" s="307"/>
    </row>
    <row r="34" ht="17.25" customHeight="1" spans="1:19">
      <c r="A34" s="285" t="s">
        <v>299</v>
      </c>
      <c r="B34" s="286" t="s">
        <v>19</v>
      </c>
      <c r="C34" s="290">
        <v>0.049</v>
      </c>
      <c r="D34" s="284">
        <f>SUM(E34:G34)</f>
        <v>93357.8726182849</v>
      </c>
      <c r="E34" s="307">
        <f>E36</f>
        <v>7021.28889</v>
      </c>
      <c r="F34" s="307">
        <f>F36</f>
        <v>28429.19871561</v>
      </c>
      <c r="G34" s="307">
        <f>G36</f>
        <v>57907.3850126749</v>
      </c>
      <c r="H34" s="307"/>
      <c r="I34" s="307"/>
      <c r="K34" s="285" t="s">
        <v>299</v>
      </c>
      <c r="L34" s="286" t="s">
        <v>19</v>
      </c>
      <c r="M34" s="290">
        <v>0.049</v>
      </c>
      <c r="N34" s="284">
        <f>SUM(O34:Q34)</f>
        <v>95756.6115644206</v>
      </c>
      <c r="O34" s="307">
        <f>O36</f>
        <v>7197.63084572014</v>
      </c>
      <c r="P34" s="307">
        <f>P36</f>
        <v>29152.0650655462</v>
      </c>
      <c r="Q34" s="307">
        <f>Q36</f>
        <v>59406.9156531543</v>
      </c>
      <c r="R34" s="307"/>
      <c r="S34" s="307"/>
    </row>
    <row r="35" ht="17.25" customHeight="1" spans="1:19">
      <c r="A35" s="285"/>
      <c r="B35" s="288" t="s">
        <v>300</v>
      </c>
      <c r="C35" s="290"/>
      <c r="D35" s="307"/>
      <c r="E35" s="307">
        <f>E33</f>
        <v>286583.22</v>
      </c>
      <c r="F35" s="307">
        <f>F33</f>
        <v>573166.44</v>
      </c>
      <c r="G35" s="307">
        <f>G33</f>
        <v>573166.44</v>
      </c>
      <c r="H35" s="307"/>
      <c r="I35" s="307"/>
      <c r="K35" s="285"/>
      <c r="L35" s="288" t="s">
        <v>300</v>
      </c>
      <c r="M35" s="290"/>
      <c r="N35" s="307"/>
      <c r="O35" s="307">
        <f>O33/(1-$M$34/2)</f>
        <v>293780.85084572</v>
      </c>
      <c r="P35" s="307">
        <f>(O38*$M$34+P33)/(1-$M$34/2)</f>
        <v>602318.505065546</v>
      </c>
      <c r="Q35" s="307">
        <f>(P38*$M$34+Q33)/(1-$M$34/2)</f>
        <v>632573.355653154</v>
      </c>
      <c r="R35" s="307"/>
      <c r="S35" s="307"/>
    </row>
    <row r="36" ht="17.25" customHeight="1" spans="1:19">
      <c r="A36" s="291"/>
      <c r="B36" s="292" t="s">
        <v>301</v>
      </c>
      <c r="C36" s="290"/>
      <c r="D36" s="307">
        <f>SUM(E36:G36)</f>
        <v>93357.8726182849</v>
      </c>
      <c r="E36" s="307">
        <f>(E37+E33/2)*$C34</f>
        <v>7021.28889</v>
      </c>
      <c r="F36" s="307">
        <f>(F37+F35/2)*$C34</f>
        <v>28429.19871561</v>
      </c>
      <c r="G36" s="307">
        <f>(G37+G35/2)*$C34</f>
        <v>57907.3850126749</v>
      </c>
      <c r="H36" s="307"/>
      <c r="I36" s="307"/>
      <c r="K36" s="291"/>
      <c r="L36" s="292" t="s">
        <v>301</v>
      </c>
      <c r="M36" s="290"/>
      <c r="N36" s="307">
        <f>SUM(O36:Q36)</f>
        <v>95756.6115644206</v>
      </c>
      <c r="O36" s="307">
        <f>O35/2*M34</f>
        <v>7197.63084572014</v>
      </c>
      <c r="P36" s="307">
        <f>O38*$M$34+P35*$M$34/2</f>
        <v>29152.0650655462</v>
      </c>
      <c r="Q36" s="307">
        <f>P38*$M$34+Q35*$M$34/2</f>
        <v>59406.9156531543</v>
      </c>
      <c r="R36" s="307"/>
      <c r="S36" s="307"/>
    </row>
    <row r="37" ht="19.5" customHeight="1" spans="1:19">
      <c r="A37" s="291"/>
      <c r="B37" s="293" t="s">
        <v>302</v>
      </c>
      <c r="C37" s="290"/>
      <c r="D37" s="307"/>
      <c r="E37" s="307">
        <v>0</v>
      </c>
      <c r="F37" s="307">
        <f>E38</f>
        <v>293604.50889</v>
      </c>
      <c r="G37" s="307">
        <f>F38</f>
        <v>895200.14760561</v>
      </c>
      <c r="H37" s="307">
        <f>G38</f>
        <v>1526273.97261829</v>
      </c>
      <c r="I37" s="307"/>
      <c r="K37" s="291"/>
      <c r="L37" s="293" t="s">
        <v>302</v>
      </c>
      <c r="M37" s="290"/>
      <c r="N37" s="307"/>
      <c r="O37" s="307">
        <v>0</v>
      </c>
      <c r="P37" s="307">
        <f>O38</f>
        <v>293780.85084572</v>
      </c>
      <c r="Q37" s="307">
        <f>P38</f>
        <v>896099.355911266</v>
      </c>
      <c r="R37" s="307">
        <f>Q38</f>
        <v>1588079.62721757</v>
      </c>
      <c r="S37" s="307"/>
    </row>
    <row r="38" ht="21" customHeight="1" spans="1:19">
      <c r="A38" s="291"/>
      <c r="B38" s="294" t="s">
        <v>303</v>
      </c>
      <c r="C38" s="290"/>
      <c r="D38" s="307"/>
      <c r="E38" s="307">
        <f>E35+E36</f>
        <v>293604.50889</v>
      </c>
      <c r="F38" s="307">
        <f>F37+F36+F35</f>
        <v>895200.14760561</v>
      </c>
      <c r="G38" s="307">
        <f>G37+G36+G35</f>
        <v>1526273.97261829</v>
      </c>
      <c r="H38" s="309"/>
      <c r="I38" s="307"/>
      <c r="K38" s="291"/>
      <c r="L38" s="294" t="s">
        <v>303</v>
      </c>
      <c r="M38" s="290"/>
      <c r="N38" s="307"/>
      <c r="O38" s="307">
        <f>O35</f>
        <v>293780.85084572</v>
      </c>
      <c r="P38" s="307">
        <f>P37+P35</f>
        <v>896099.355911266</v>
      </c>
      <c r="Q38" s="307">
        <f>Q37+Q36+Q35</f>
        <v>1588079.62721757</v>
      </c>
      <c r="R38" s="309"/>
      <c r="S38" s="307"/>
    </row>
    <row r="39" ht="19.5" customHeight="1" spans="1:19">
      <c r="A39" s="285" t="s">
        <v>304</v>
      </c>
      <c r="B39" s="286" t="s">
        <v>21</v>
      </c>
      <c r="C39" s="287"/>
      <c r="D39" s="307">
        <f>H39+I39</f>
        <v>17248.7140702064</v>
      </c>
      <c r="E39" s="307"/>
      <c r="F39" s="307"/>
      <c r="G39" s="307"/>
      <c r="H39" s="307">
        <f>流动资金!H24</f>
        <v>15757.0363783647</v>
      </c>
      <c r="I39" s="307">
        <f>流动资金!I25</f>
        <v>1491.67769184166</v>
      </c>
      <c r="K39" s="285" t="s">
        <v>304</v>
      </c>
      <c r="L39" s="286" t="s">
        <v>21</v>
      </c>
      <c r="M39" s="287"/>
      <c r="N39" s="307">
        <f>R39+S39</f>
        <v>17248.7140702064</v>
      </c>
      <c r="O39" s="307"/>
      <c r="P39" s="307"/>
      <c r="Q39" s="307"/>
      <c r="R39" s="326">
        <f>H39</f>
        <v>15757.0363783647</v>
      </c>
      <c r="S39" s="326">
        <f>I39</f>
        <v>1491.67769184166</v>
      </c>
    </row>
    <row r="40" ht="19.5" customHeight="1" spans="1:19">
      <c r="A40" s="291"/>
      <c r="B40" s="286" t="s">
        <v>305</v>
      </c>
      <c r="C40" s="295"/>
      <c r="D40" s="310">
        <f t="shared" ref="D40:I40" si="14">D32+D34+D39</f>
        <v>2157629.58668849</v>
      </c>
      <c r="E40" s="284">
        <f t="shared" si="14"/>
        <v>416425.88889</v>
      </c>
      <c r="F40" s="284">
        <f t="shared" si="14"/>
        <v>847238.39871561</v>
      </c>
      <c r="G40" s="284">
        <f t="shared" si="14"/>
        <v>876716.585012675</v>
      </c>
      <c r="H40" s="284">
        <f t="shared" si="14"/>
        <v>15757.0363783647</v>
      </c>
      <c r="I40" s="284">
        <f t="shared" si="14"/>
        <v>1491.67769184166</v>
      </c>
      <c r="K40" s="291"/>
      <c r="L40" s="286" t="s">
        <v>305</v>
      </c>
      <c r="M40" s="295"/>
      <c r="N40" s="310">
        <f t="shared" ref="N40:S40" si="15">N32+N34+N39</f>
        <v>2160028.32563463</v>
      </c>
      <c r="O40" s="284">
        <f t="shared" si="15"/>
        <v>416602.23084572</v>
      </c>
      <c r="P40" s="284">
        <f t="shared" si="15"/>
        <v>847961.265065546</v>
      </c>
      <c r="Q40" s="284">
        <f t="shared" si="15"/>
        <v>878216.115653154</v>
      </c>
      <c r="R40" s="284">
        <f t="shared" si="15"/>
        <v>15757.0363783647</v>
      </c>
      <c r="S40" s="284">
        <f t="shared" si="15"/>
        <v>1491.67769184166</v>
      </c>
    </row>
    <row r="41" ht="18.75" customHeight="1" spans="1:19">
      <c r="A41" s="296" t="s">
        <v>280</v>
      </c>
      <c r="B41" s="297" t="s">
        <v>306</v>
      </c>
      <c r="C41" s="298"/>
      <c r="D41" s="311"/>
      <c r="E41" s="311"/>
      <c r="F41" s="311"/>
      <c r="G41" s="311"/>
      <c r="H41" s="307"/>
      <c r="I41" s="307"/>
      <c r="K41" s="296" t="s">
        <v>280</v>
      </c>
      <c r="L41" s="297" t="s">
        <v>306</v>
      </c>
      <c r="M41" s="298"/>
      <c r="N41" s="311"/>
      <c r="O41" s="311"/>
      <c r="P41" s="311"/>
      <c r="Q41" s="311"/>
      <c r="R41" s="307"/>
      <c r="S41" s="307"/>
    </row>
    <row r="42" ht="13" spans="1:19">
      <c r="A42" s="291" t="s">
        <v>282</v>
      </c>
      <c r="B42" s="294" t="s">
        <v>307</v>
      </c>
      <c r="C42" s="287"/>
      <c r="D42" s="307">
        <f>D43+D44</f>
        <v>619281.514221062</v>
      </c>
      <c r="E42" s="307">
        <f t="shared" ref="E42:I42" si="16">E43+E44</f>
        <v>122821.38</v>
      </c>
      <c r="F42" s="307">
        <f t="shared" si="16"/>
        <v>245642.76</v>
      </c>
      <c r="G42" s="307">
        <f t="shared" si="16"/>
        <v>245642.76</v>
      </c>
      <c r="H42" s="307">
        <f t="shared" si="16"/>
        <v>4727.11091350941</v>
      </c>
      <c r="I42" s="307">
        <f t="shared" si="16"/>
        <v>447.503307552499</v>
      </c>
      <c r="K42" s="291" t="s">
        <v>282</v>
      </c>
      <c r="L42" s="294" t="s">
        <v>307</v>
      </c>
      <c r="M42" s="287"/>
      <c r="N42" s="307">
        <f>N43+N44</f>
        <v>619281.514221062</v>
      </c>
      <c r="O42" s="307">
        <f t="shared" ref="O42:S42" si="17">O43+O44</f>
        <v>122821.38</v>
      </c>
      <c r="P42" s="307">
        <f t="shared" si="17"/>
        <v>245642.76</v>
      </c>
      <c r="Q42" s="307">
        <f t="shared" si="17"/>
        <v>245642.76</v>
      </c>
      <c r="R42" s="307">
        <f t="shared" si="17"/>
        <v>4727.11091350941</v>
      </c>
      <c r="S42" s="307">
        <f t="shared" si="17"/>
        <v>447.503307552499</v>
      </c>
    </row>
    <row r="43" ht="13" spans="1:19">
      <c r="A43" s="291" t="s">
        <v>308</v>
      </c>
      <c r="B43" s="294" t="s">
        <v>309</v>
      </c>
      <c r="C43" s="287"/>
      <c r="D43" s="307">
        <f t="shared" ref="D43:D50" si="18">SUM(E43:I43)</f>
        <v>614106.9</v>
      </c>
      <c r="E43" s="307">
        <f>$D32*E31*(1-$C33)</f>
        <v>122821.38</v>
      </c>
      <c r="F43" s="307">
        <f>$D32*F31*(1-$C33)</f>
        <v>245642.76</v>
      </c>
      <c r="G43" s="307">
        <f>$D32*G31*(1-$C33)</f>
        <v>245642.76</v>
      </c>
      <c r="H43" s="307"/>
      <c r="I43" s="307"/>
      <c r="K43" s="291" t="s">
        <v>308</v>
      </c>
      <c r="L43" s="294" t="s">
        <v>309</v>
      </c>
      <c r="M43" s="287"/>
      <c r="N43" s="307">
        <f t="shared" ref="N43:N50" si="19">SUM(O43:S43)</f>
        <v>614106.9</v>
      </c>
      <c r="O43" s="307">
        <f>$D32*O31*(1-$C33)</f>
        <v>122821.38</v>
      </c>
      <c r="P43" s="307">
        <f>$D32*P31*(1-$C33)</f>
        <v>245642.76</v>
      </c>
      <c r="Q43" s="307">
        <f>$D32*Q31*(1-$C33)</f>
        <v>245642.76</v>
      </c>
      <c r="R43" s="307"/>
      <c r="S43" s="307"/>
    </row>
    <row r="44" ht="13" spans="1:19">
      <c r="A44" s="291" t="s">
        <v>310</v>
      </c>
      <c r="B44" s="294" t="s">
        <v>311</v>
      </c>
      <c r="C44" s="287"/>
      <c r="D44" s="307">
        <f t="shared" si="18"/>
        <v>5174.61422106191</v>
      </c>
      <c r="E44" s="307"/>
      <c r="F44" s="307"/>
      <c r="G44" s="307"/>
      <c r="H44" s="307">
        <f>H39*30%</f>
        <v>4727.11091350941</v>
      </c>
      <c r="I44" s="307">
        <f>I40*30%</f>
        <v>447.503307552499</v>
      </c>
      <c r="K44" s="291" t="s">
        <v>310</v>
      </c>
      <c r="L44" s="294" t="s">
        <v>311</v>
      </c>
      <c r="M44" s="287"/>
      <c r="N44" s="307">
        <f t="shared" si="19"/>
        <v>5174.61422106191</v>
      </c>
      <c r="O44" s="307"/>
      <c r="P44" s="307"/>
      <c r="Q44" s="307"/>
      <c r="R44" s="307">
        <f>R39*30%</f>
        <v>4727.11091350941</v>
      </c>
      <c r="S44" s="307">
        <f>S40*30%</f>
        <v>447.503307552499</v>
      </c>
    </row>
    <row r="45" ht="13" spans="1:19">
      <c r="A45" s="291" t="s">
        <v>312</v>
      </c>
      <c r="B45" s="294" t="s">
        <v>313</v>
      </c>
      <c r="C45" s="287"/>
      <c r="D45" s="307">
        <f t="shared" si="18"/>
        <v>1538348.07246743</v>
      </c>
      <c r="E45" s="307">
        <f t="shared" ref="E45:I45" si="20">E46+E49+E50</f>
        <v>293604.50889</v>
      </c>
      <c r="F45" s="307">
        <f t="shared" si="20"/>
        <v>601595.63871561</v>
      </c>
      <c r="G45" s="307">
        <f t="shared" si="20"/>
        <v>631073.825012675</v>
      </c>
      <c r="H45" s="307">
        <f t="shared" si="20"/>
        <v>11029.9254648553</v>
      </c>
      <c r="I45" s="307">
        <f t="shared" si="20"/>
        <v>1044.17438428916</v>
      </c>
      <c r="K45" s="291" t="s">
        <v>312</v>
      </c>
      <c r="L45" s="294" t="s">
        <v>313</v>
      </c>
      <c r="M45" s="287"/>
      <c r="N45" s="307">
        <f t="shared" si="19"/>
        <v>1540746.81141357</v>
      </c>
      <c r="O45" s="307">
        <f t="shared" ref="O45:S45" si="21">O46+O49+O50</f>
        <v>293780.85084572</v>
      </c>
      <c r="P45" s="307">
        <f t="shared" si="21"/>
        <v>602318.505065546</v>
      </c>
      <c r="Q45" s="307">
        <f t="shared" si="21"/>
        <v>632573.355653154</v>
      </c>
      <c r="R45" s="307">
        <f t="shared" si="21"/>
        <v>11029.9254648553</v>
      </c>
      <c r="S45" s="307">
        <f t="shared" si="21"/>
        <v>1044.17438428916</v>
      </c>
    </row>
    <row r="46" ht="13" spans="1:19">
      <c r="A46" s="291" t="s">
        <v>314</v>
      </c>
      <c r="B46" s="294" t="s">
        <v>315</v>
      </c>
      <c r="C46" s="287"/>
      <c r="D46" s="307">
        <f t="shared" si="18"/>
        <v>1526273.97261829</v>
      </c>
      <c r="E46" s="307">
        <f t="shared" ref="E46:G46" si="22">SUM(E47:E48)</f>
        <v>293604.50889</v>
      </c>
      <c r="F46" s="307">
        <f t="shared" si="22"/>
        <v>601595.63871561</v>
      </c>
      <c r="G46" s="307">
        <f t="shared" si="22"/>
        <v>631073.825012675</v>
      </c>
      <c r="H46" s="307"/>
      <c r="I46" s="307"/>
      <c r="K46" s="291" t="s">
        <v>314</v>
      </c>
      <c r="L46" s="294" t="s">
        <v>315</v>
      </c>
      <c r="M46" s="287"/>
      <c r="N46" s="307">
        <f t="shared" si="19"/>
        <v>1528672.71156442</v>
      </c>
      <c r="O46" s="307">
        <f t="shared" ref="O46:Q46" si="23">SUM(O47:O48)</f>
        <v>293780.85084572</v>
      </c>
      <c r="P46" s="307">
        <f t="shared" si="23"/>
        <v>602318.505065546</v>
      </c>
      <c r="Q46" s="307">
        <f t="shared" si="23"/>
        <v>632573.355653154</v>
      </c>
      <c r="R46" s="307"/>
      <c r="S46" s="307"/>
    </row>
    <row r="47" ht="13" spans="1:19">
      <c r="A47" s="291"/>
      <c r="B47" s="294" t="s">
        <v>316</v>
      </c>
      <c r="C47" s="287"/>
      <c r="D47" s="307">
        <f t="shared" si="18"/>
        <v>1432916.1</v>
      </c>
      <c r="E47" s="307">
        <f>E33</f>
        <v>286583.22</v>
      </c>
      <c r="F47" s="307">
        <f t="shared" ref="F47:G47" si="24">F33</f>
        <v>573166.44</v>
      </c>
      <c r="G47" s="307">
        <f t="shared" si="24"/>
        <v>573166.44</v>
      </c>
      <c r="H47" s="307"/>
      <c r="I47" s="307"/>
      <c r="K47" s="291"/>
      <c r="L47" s="294" t="s">
        <v>316</v>
      </c>
      <c r="M47" s="287"/>
      <c r="N47" s="307">
        <f t="shared" si="19"/>
        <v>1432916.1</v>
      </c>
      <c r="O47" s="307">
        <f>O33</f>
        <v>286583.22</v>
      </c>
      <c r="P47" s="307">
        <f t="shared" ref="P47:Q47" si="25">P33</f>
        <v>573166.44</v>
      </c>
      <c r="Q47" s="307">
        <f t="shared" si="25"/>
        <v>573166.44</v>
      </c>
      <c r="R47" s="307"/>
      <c r="S47" s="307"/>
    </row>
    <row r="48" ht="13" spans="1:19">
      <c r="A48" s="291"/>
      <c r="B48" s="294" t="s">
        <v>317</v>
      </c>
      <c r="C48" s="287"/>
      <c r="D48" s="307">
        <f t="shared" si="18"/>
        <v>93357.8726182849</v>
      </c>
      <c r="E48" s="307">
        <f>E36</f>
        <v>7021.28889</v>
      </c>
      <c r="F48" s="307">
        <f t="shared" ref="F48:G48" si="26">F36</f>
        <v>28429.19871561</v>
      </c>
      <c r="G48" s="307">
        <f t="shared" si="26"/>
        <v>57907.3850126749</v>
      </c>
      <c r="H48" s="307"/>
      <c r="I48" s="307"/>
      <c r="K48" s="291"/>
      <c r="L48" s="294" t="s">
        <v>317</v>
      </c>
      <c r="M48" s="287"/>
      <c r="N48" s="307">
        <f t="shared" si="19"/>
        <v>95756.6115644206</v>
      </c>
      <c r="O48" s="307">
        <f>O36</f>
        <v>7197.63084572014</v>
      </c>
      <c r="P48" s="307">
        <f t="shared" ref="P48:Q48" si="27">P36</f>
        <v>29152.0650655462</v>
      </c>
      <c r="Q48" s="307">
        <f t="shared" si="27"/>
        <v>59406.9156531543</v>
      </c>
      <c r="R48" s="307"/>
      <c r="S48" s="307"/>
    </row>
    <row r="49" ht="13" spans="1:19">
      <c r="A49" s="291" t="s">
        <v>318</v>
      </c>
      <c r="B49" s="294" t="s">
        <v>319</v>
      </c>
      <c r="C49" s="287"/>
      <c r="D49" s="307">
        <f t="shared" si="18"/>
        <v>12074.0998491445</v>
      </c>
      <c r="E49" s="307"/>
      <c r="F49" s="307"/>
      <c r="G49" s="307"/>
      <c r="H49" s="307">
        <f>H39-H44</f>
        <v>11029.9254648553</v>
      </c>
      <c r="I49" s="307">
        <f>I39-I44</f>
        <v>1044.17438428916</v>
      </c>
      <c r="K49" s="291" t="s">
        <v>318</v>
      </c>
      <c r="L49" s="294" t="s">
        <v>319</v>
      </c>
      <c r="M49" s="287"/>
      <c r="N49" s="307">
        <f t="shared" si="19"/>
        <v>12074.0998491445</v>
      </c>
      <c r="O49" s="307"/>
      <c r="P49" s="307"/>
      <c r="Q49" s="307"/>
      <c r="R49" s="307">
        <f>R39-R44</f>
        <v>11029.9254648553</v>
      </c>
      <c r="S49" s="307">
        <f>S39-S44</f>
        <v>1044.17438428916</v>
      </c>
    </row>
    <row r="50" ht="13" spans="1:19">
      <c r="A50" s="291" t="s">
        <v>320</v>
      </c>
      <c r="B50" s="294" t="s">
        <v>321</v>
      </c>
      <c r="C50" s="287"/>
      <c r="D50" s="307">
        <f t="shared" si="18"/>
        <v>0</v>
      </c>
      <c r="E50" s="307"/>
      <c r="F50" s="307"/>
      <c r="G50" s="307"/>
      <c r="H50" s="307"/>
      <c r="I50" s="307"/>
      <c r="K50" s="291" t="s">
        <v>320</v>
      </c>
      <c r="L50" s="294" t="s">
        <v>321</v>
      </c>
      <c r="M50" s="287"/>
      <c r="N50" s="307">
        <f t="shared" si="19"/>
        <v>0</v>
      </c>
      <c r="O50" s="307"/>
      <c r="P50" s="307"/>
      <c r="Q50" s="307"/>
      <c r="R50" s="307"/>
      <c r="S50" s="307"/>
    </row>
    <row r="51" ht="13" spans="1:19">
      <c r="A51" s="291" t="s">
        <v>322</v>
      </c>
      <c r="B51" s="294" t="s">
        <v>278</v>
      </c>
      <c r="C51" s="287"/>
      <c r="D51" s="307"/>
      <c r="E51" s="307"/>
      <c r="F51" s="307"/>
      <c r="G51" s="307"/>
      <c r="H51" s="307"/>
      <c r="I51" s="307"/>
      <c r="K51" s="291" t="s">
        <v>322</v>
      </c>
      <c r="L51" s="294" t="s">
        <v>278</v>
      </c>
      <c r="M51" s="287"/>
      <c r="N51" s="307"/>
      <c r="O51" s="307"/>
      <c r="P51" s="307"/>
      <c r="Q51" s="307"/>
      <c r="R51" s="307"/>
      <c r="S51" s="307"/>
    </row>
    <row r="52" ht="16.5" customHeight="1" spans="1:19">
      <c r="A52" s="287"/>
      <c r="B52" s="286" t="s">
        <v>305</v>
      </c>
      <c r="C52" s="295"/>
      <c r="D52" s="284">
        <f>D45+D42+D51</f>
        <v>2157629.58668849</v>
      </c>
      <c r="E52" s="284">
        <f t="shared" ref="E52:I52" si="28">E45+E42+E51</f>
        <v>416425.88889</v>
      </c>
      <c r="F52" s="284">
        <f t="shared" si="28"/>
        <v>847238.39871561</v>
      </c>
      <c r="G52" s="284">
        <f t="shared" si="28"/>
        <v>876716.585012675</v>
      </c>
      <c r="H52" s="284">
        <f t="shared" si="28"/>
        <v>15757.0363783647</v>
      </c>
      <c r="I52" s="284">
        <f t="shared" si="28"/>
        <v>1491.67769184166</v>
      </c>
      <c r="K52" s="287"/>
      <c r="L52" s="286" t="s">
        <v>305</v>
      </c>
      <c r="M52" s="295"/>
      <c r="N52" s="284">
        <f>N45+N42+N51</f>
        <v>2160028.32563463</v>
      </c>
      <c r="O52" s="284">
        <f t="shared" ref="O52:S52" si="29">O45+O42+O51</f>
        <v>416602.23084572</v>
      </c>
      <c r="P52" s="284">
        <f t="shared" si="29"/>
        <v>847961.265065546</v>
      </c>
      <c r="Q52" s="284">
        <f t="shared" si="29"/>
        <v>878216.115653154</v>
      </c>
      <c r="R52" s="284">
        <f t="shared" si="29"/>
        <v>15757.0363783647</v>
      </c>
      <c r="S52" s="284">
        <f t="shared" si="29"/>
        <v>1491.67769184166</v>
      </c>
    </row>
    <row r="53" ht="13" spans="2:9">
      <c r="B53" s="312"/>
      <c r="C53" s="313"/>
      <c r="D53" s="314"/>
      <c r="E53" s="314"/>
      <c r="F53" s="314"/>
      <c r="G53" s="314"/>
      <c r="H53" s="314"/>
      <c r="I53" s="314"/>
    </row>
  </sheetData>
  <mergeCells count="14">
    <mergeCell ref="A1:I1"/>
    <mergeCell ref="A2:I2"/>
    <mergeCell ref="A28:I28"/>
    <mergeCell ref="K28:S28"/>
    <mergeCell ref="A3:A4"/>
    <mergeCell ref="A29:A30"/>
    <mergeCell ref="B3:B4"/>
    <mergeCell ref="B29:B30"/>
    <mergeCell ref="D3:D4"/>
    <mergeCell ref="D29:D30"/>
    <mergeCell ref="K29:K30"/>
    <mergeCell ref="L4:L5"/>
    <mergeCell ref="L29:L30"/>
    <mergeCell ref="N29:N30"/>
  </mergeCells>
  <hyperlinks>
    <hyperlink ref="A1:I1" location="目录!A1" display="分年投资计划和资金筹措表（单位：万元）"/>
  </hyperlinks>
  <pageMargins left="0.75" right="0.75" top="1" bottom="1" header="0.511805555555556" footer="0.511805555555556"/>
  <pageSetup paperSize="9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主要参数指标汇总表</vt:lpstr>
      <vt:lpstr>建设投资</vt:lpstr>
      <vt:lpstr>投资使用计划</vt:lpstr>
      <vt:lpstr>经营成本</vt:lpstr>
      <vt:lpstr>销售收入</vt:lpstr>
      <vt:lpstr>销售税金</vt:lpstr>
      <vt:lpstr>流动资金</vt:lpstr>
      <vt:lpstr> 资金筹措</vt:lpstr>
      <vt:lpstr> 折旧摊销</vt:lpstr>
      <vt:lpstr>还本付息</vt:lpstr>
      <vt:lpstr>总成本</vt:lpstr>
      <vt:lpstr> 损益表</vt:lpstr>
      <vt:lpstr>财务现金流量</vt:lpstr>
      <vt:lpstr>项目投资现金流量</vt:lpstr>
      <vt:lpstr>项目资本金现金流量表</vt:lpstr>
      <vt:lpstr>敏感性分析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陈雪飞</dc:creator>
  <cp:lastModifiedBy>xuefe</cp:lastModifiedBy>
  <dcterms:created xsi:type="dcterms:W3CDTF">2017-03-20T01:09:00Z</dcterms:created>
  <cp:lastPrinted>2017-03-22T02:12:00Z</cp:lastPrinted>
  <dcterms:modified xsi:type="dcterms:W3CDTF">2022-10-20T06:24:39Z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B29CDA466A4F45D8B248AA6CCB43A162</vt:lpwstr>
  </property>
  <property fmtid="{D5CDD505-2E9C-101B-9397-08002B2CF9AE}" pid="3" name="KSOProductBuildVer">
    <vt:lpwstr>2052-11.8.2.11718</vt:lpwstr>
  </property>
</Properties>
</file>